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rao-my.sharepoint.com/personal/jburnfie_nrao_edu/Documents/Desktop/"/>
    </mc:Choice>
  </mc:AlternateContent>
  <xr:revisionPtr revIDLastSave="2010" documentId="13_ncr:1_{0CBCC5F9-358B-4D3D-A272-2D27C8B91034}" xr6:coauthVersionLast="47" xr6:coauthVersionMax="47" xr10:uidLastSave="{67238E46-23B4-4289-986A-7433944FB001}"/>
  <bookViews>
    <workbookView xWindow="-120" yWindow="-120" windowWidth="29040" windowHeight="15720" xr2:uid="{32AD03FB-1743-4A6A-A260-EAE79E28D149}"/>
  </bookViews>
  <sheets>
    <sheet name="2.74 m (original)" sheetId="13" r:id="rId1"/>
    <sheet name="1.54 m" sheetId="2" r:id="rId2"/>
    <sheet name="3.5 m" sheetId="1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3" l="1"/>
  <c r="K13" i="12"/>
  <c r="H15" i="2"/>
  <c r="K13" i="2"/>
  <c r="H15" i="13"/>
  <c r="K7" i="2"/>
  <c r="K9" i="2"/>
  <c r="K8" i="2"/>
  <c r="K10" i="2"/>
  <c r="H11" i="12"/>
  <c r="H13" i="12"/>
  <c r="H15" i="12"/>
  <c r="H9" i="2"/>
  <c r="H10" i="2"/>
  <c r="K61" i="13"/>
  <c r="L60" i="13"/>
  <c r="L61" i="13" s="1"/>
  <c r="K56" i="13"/>
  <c r="K58" i="13" s="1"/>
  <c r="K53" i="13"/>
  <c r="L52" i="13"/>
  <c r="K52" i="13"/>
  <c r="K55" i="13" s="1"/>
  <c r="K57" i="13" s="1"/>
  <c r="K49" i="13"/>
  <c r="K50" i="13" s="1"/>
  <c r="K48" i="13"/>
  <c r="K18" i="13"/>
  <c r="U17" i="13"/>
  <c r="S17" i="13"/>
  <c r="S21" i="13" s="1"/>
  <c r="H11" i="13"/>
  <c r="U10" i="13"/>
  <c r="V10" i="13" s="1"/>
  <c r="X10" i="13" s="1"/>
  <c r="U9" i="13"/>
  <c r="V9" i="13" s="1"/>
  <c r="X9" i="13" s="1"/>
  <c r="H9" i="13"/>
  <c r="H10" i="13" s="1"/>
  <c r="U8" i="13"/>
  <c r="V8" i="13" s="1"/>
  <c r="X8" i="13" s="1"/>
  <c r="K8" i="13"/>
  <c r="K9" i="13" s="1"/>
  <c r="U7" i="13"/>
  <c r="V7" i="13" s="1"/>
  <c r="X7" i="13" s="1"/>
  <c r="K7" i="13"/>
  <c r="U6" i="13"/>
  <c r="V6" i="13" s="1"/>
  <c r="X6" i="13" s="1"/>
  <c r="S6" i="13"/>
  <c r="S10" i="13" s="1"/>
  <c r="H6" i="13"/>
  <c r="H7" i="13" s="1"/>
  <c r="A6" i="13"/>
  <c r="C2" i="13" s="1"/>
  <c r="D2" i="13" s="1"/>
  <c r="H5" i="13"/>
  <c r="U4" i="13"/>
  <c r="V4" i="13" s="1"/>
  <c r="W4" i="13" s="1"/>
  <c r="H4" i="13"/>
  <c r="D4" i="13"/>
  <c r="K61" i="12"/>
  <c r="L60" i="12"/>
  <c r="L61" i="12" s="1"/>
  <c r="K56" i="12"/>
  <c r="K58" i="12" s="1"/>
  <c r="K53" i="12"/>
  <c r="L52" i="12"/>
  <c r="K52" i="12"/>
  <c r="K55" i="12" s="1"/>
  <c r="K57" i="12" s="1"/>
  <c r="K49" i="12"/>
  <c r="K50" i="12" s="1"/>
  <c r="K48" i="12"/>
  <c r="K18" i="12"/>
  <c r="U17" i="12"/>
  <c r="S17" i="12"/>
  <c r="S21" i="12" s="1"/>
  <c r="U10" i="12"/>
  <c r="V10" i="12" s="1"/>
  <c r="X10" i="12" s="1"/>
  <c r="U9" i="12"/>
  <c r="V9" i="12" s="1"/>
  <c r="X9" i="12" s="1"/>
  <c r="H9" i="12"/>
  <c r="H10" i="12" s="1"/>
  <c r="U8" i="12"/>
  <c r="V8" i="12" s="1"/>
  <c r="X8" i="12" s="1"/>
  <c r="K8" i="12"/>
  <c r="K9" i="12" s="1"/>
  <c r="U7" i="12"/>
  <c r="V7" i="12" s="1"/>
  <c r="X7" i="12" s="1"/>
  <c r="K7" i="12"/>
  <c r="U6" i="12"/>
  <c r="V6" i="12" s="1"/>
  <c r="X6" i="12" s="1"/>
  <c r="S6" i="12"/>
  <c r="S10" i="12" s="1"/>
  <c r="H6" i="12"/>
  <c r="H7" i="12" s="1"/>
  <c r="A6" i="12"/>
  <c r="C2" i="12" s="1"/>
  <c r="D2" i="12" s="1"/>
  <c r="H5" i="12"/>
  <c r="U4" i="12"/>
  <c r="V4" i="12" s="1"/>
  <c r="W4" i="12" s="1"/>
  <c r="H4" i="12"/>
  <c r="D4" i="12"/>
  <c r="A6" i="2"/>
  <c r="C2" i="2" s="1"/>
  <c r="W4" i="2"/>
  <c r="W15" i="2"/>
  <c r="V21" i="2"/>
  <c r="V20" i="2"/>
  <c r="V19" i="2"/>
  <c r="V18" i="2"/>
  <c r="V17" i="2"/>
  <c r="T19" i="2"/>
  <c r="T20" i="2"/>
  <c r="T21" i="2"/>
  <c r="U21" i="2" s="1"/>
  <c r="X21" i="2" s="1"/>
  <c r="T18" i="2"/>
  <c r="U18" i="2" s="1"/>
  <c r="U17" i="2"/>
  <c r="S21" i="2"/>
  <c r="S17" i="2"/>
  <c r="S20" i="2"/>
  <c r="S19" i="2" s="1"/>
  <c r="U20" i="2"/>
  <c r="U19" i="2"/>
  <c r="X19" i="2" s="1"/>
  <c r="S6" i="2"/>
  <c r="S10" i="2" s="1"/>
  <c r="U7" i="2"/>
  <c r="V7" i="2" s="1"/>
  <c r="X7" i="2" s="1"/>
  <c r="U8" i="2"/>
  <c r="V8" i="2" s="1"/>
  <c r="X8" i="2" s="1"/>
  <c r="U9" i="2"/>
  <c r="V9" i="2" s="1"/>
  <c r="X9" i="2" s="1"/>
  <c r="U10" i="2"/>
  <c r="V10" i="2" s="1"/>
  <c r="X10" i="2" s="1"/>
  <c r="U6" i="2"/>
  <c r="V6" i="2" s="1"/>
  <c r="K61" i="2"/>
  <c r="L61" i="2"/>
  <c r="L60" i="2"/>
  <c r="K49" i="2"/>
  <c r="K50" i="2" s="1"/>
  <c r="K48" i="2"/>
  <c r="K56" i="2"/>
  <c r="K58" i="2" s="1"/>
  <c r="K55" i="2"/>
  <c r="K57" i="2" s="1"/>
  <c r="K53" i="2"/>
  <c r="K52" i="2"/>
  <c r="K19" i="2"/>
  <c r="K21" i="2" s="1"/>
  <c r="K18" i="2"/>
  <c r="K20" i="2" s="1"/>
  <c r="L56" i="2"/>
  <c r="L58" i="2" s="1"/>
  <c r="H6" i="2"/>
  <c r="E2" i="2" s="1"/>
  <c r="H5" i="2"/>
  <c r="H4" i="2"/>
  <c r="E2" i="13" l="1"/>
  <c r="H16" i="13" s="1"/>
  <c r="I8" i="13" s="1"/>
  <c r="H8" i="13" s="1"/>
  <c r="E2" i="12"/>
  <c r="H16" i="12" s="1"/>
  <c r="I8" i="12" s="1"/>
  <c r="H8" i="12" s="1"/>
  <c r="K12" i="2"/>
  <c r="L13" i="2" s="1"/>
  <c r="K32" i="13"/>
  <c r="A7" i="13"/>
  <c r="E6" i="13"/>
  <c r="B6" i="13"/>
  <c r="S9" i="13"/>
  <c r="S8" i="13" s="1"/>
  <c r="S7" i="13"/>
  <c r="L56" i="13"/>
  <c r="L58" i="13" s="1"/>
  <c r="K10" i="13"/>
  <c r="K12" i="13" s="1"/>
  <c r="L13" i="13" s="1"/>
  <c r="H13" i="13"/>
  <c r="H14" i="13" s="1"/>
  <c r="H12" i="13"/>
  <c r="T21" i="13"/>
  <c r="U21" i="13" s="1"/>
  <c r="V21" i="13" s="1"/>
  <c r="X21" i="13" s="1"/>
  <c r="S20" i="13"/>
  <c r="S18" i="13"/>
  <c r="T18" i="13" s="1"/>
  <c r="U18" i="13" s="1"/>
  <c r="V17" i="13"/>
  <c r="K22" i="13"/>
  <c r="K23" i="13" s="1"/>
  <c r="K20" i="13"/>
  <c r="K19" i="13"/>
  <c r="L55" i="13"/>
  <c r="L57" i="13" s="1"/>
  <c r="L53" i="13"/>
  <c r="K32" i="12"/>
  <c r="A7" i="12"/>
  <c r="E6" i="12"/>
  <c r="B6" i="12"/>
  <c r="S9" i="12"/>
  <c r="S8" i="12" s="1"/>
  <c r="S7" i="12"/>
  <c r="L56" i="12"/>
  <c r="L58" i="12" s="1"/>
  <c r="K10" i="12"/>
  <c r="K12" i="12" s="1"/>
  <c r="L13" i="12" s="1"/>
  <c r="H14" i="12"/>
  <c r="H12" i="12"/>
  <c r="T21" i="12"/>
  <c r="U21" i="12" s="1"/>
  <c r="V21" i="12" s="1"/>
  <c r="X21" i="12" s="1"/>
  <c r="S20" i="12"/>
  <c r="S18" i="12"/>
  <c r="T18" i="12" s="1"/>
  <c r="U18" i="12" s="1"/>
  <c r="V17" i="12"/>
  <c r="K22" i="12"/>
  <c r="K23" i="12" s="1"/>
  <c r="K20" i="12"/>
  <c r="K19" i="12"/>
  <c r="L55" i="12"/>
  <c r="L57" i="12" s="1"/>
  <c r="L53" i="12"/>
  <c r="X20" i="2"/>
  <c r="X18" i="2"/>
  <c r="X6" i="2"/>
  <c r="U4" i="2"/>
  <c r="V4" i="2" s="1"/>
  <c r="S9" i="2"/>
  <c r="S8" i="2" s="1"/>
  <c r="S7" i="2"/>
  <c r="X17" i="2"/>
  <c r="U15" i="2"/>
  <c r="S18" i="2"/>
  <c r="K32" i="2"/>
  <c r="K24" i="2"/>
  <c r="K22" i="2"/>
  <c r="K23" i="2" s="1"/>
  <c r="K25" i="2"/>
  <c r="A7" i="2"/>
  <c r="H11" i="2"/>
  <c r="H12" i="2" s="1"/>
  <c r="H16" i="2"/>
  <c r="I8" i="2" s="1"/>
  <c r="D4" i="2"/>
  <c r="E6" i="2" s="1"/>
  <c r="K25" i="13" l="1"/>
  <c r="K24" i="13"/>
  <c r="K21" i="13"/>
  <c r="X17" i="13"/>
  <c r="T20" i="13"/>
  <c r="U20" i="13" s="1"/>
  <c r="V20" i="13" s="1"/>
  <c r="X20" i="13" s="1"/>
  <c r="S19" i="13"/>
  <c r="T19" i="13" s="1"/>
  <c r="U19" i="13" s="1"/>
  <c r="L50" i="13"/>
  <c r="L48" i="13"/>
  <c r="L16" i="13"/>
  <c r="L32" i="13"/>
  <c r="L34" i="13" s="1"/>
  <c r="M6" i="13"/>
  <c r="L33" i="13" s="1"/>
  <c r="L35" i="13" s="1"/>
  <c r="A8" i="13"/>
  <c r="E7" i="13"/>
  <c r="B7" i="13"/>
  <c r="K34" i="13"/>
  <c r="K35" i="13" s="1"/>
  <c r="K33" i="13"/>
  <c r="K25" i="12"/>
  <c r="K24" i="12"/>
  <c r="K21" i="12"/>
  <c r="X17" i="12"/>
  <c r="T20" i="12"/>
  <c r="U20" i="12" s="1"/>
  <c r="V20" i="12" s="1"/>
  <c r="X20" i="12" s="1"/>
  <c r="S19" i="12"/>
  <c r="T19" i="12" s="1"/>
  <c r="U19" i="12" s="1"/>
  <c r="L50" i="12"/>
  <c r="L48" i="12"/>
  <c r="L16" i="12"/>
  <c r="L32" i="12"/>
  <c r="L34" i="12" s="1"/>
  <c r="M6" i="12"/>
  <c r="L33" i="12" s="1"/>
  <c r="L35" i="12" s="1"/>
  <c r="A8" i="12"/>
  <c r="E7" i="12"/>
  <c r="B7" i="12"/>
  <c r="K34" i="12"/>
  <c r="K35" i="12" s="1"/>
  <c r="K33" i="12"/>
  <c r="V15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B7" i="2"/>
  <c r="M7" i="2" s="1"/>
  <c r="K34" i="2"/>
  <c r="K35" i="2" s="1"/>
  <c r="K33" i="2"/>
  <c r="H8" i="2"/>
  <c r="H7" i="2"/>
  <c r="E12" i="2"/>
  <c r="H13" i="2"/>
  <c r="H14" i="2" s="1"/>
  <c r="B12" i="2" l="1"/>
  <c r="M12" i="2" s="1"/>
  <c r="M7" i="13"/>
  <c r="C6" i="13"/>
  <c r="A9" i="13"/>
  <c r="E8" i="13"/>
  <c r="B8" i="13"/>
  <c r="L19" i="13"/>
  <c r="L18" i="13"/>
  <c r="V19" i="13"/>
  <c r="X19" i="13" s="1"/>
  <c r="V18" i="13"/>
  <c r="M7" i="12"/>
  <c r="C6" i="12"/>
  <c r="A9" i="12"/>
  <c r="E8" i="12"/>
  <c r="B8" i="12"/>
  <c r="L19" i="12"/>
  <c r="L18" i="12"/>
  <c r="V19" i="12"/>
  <c r="X19" i="12" s="1"/>
  <c r="V18" i="12"/>
  <c r="E11" i="2"/>
  <c r="E13" i="2"/>
  <c r="B13" i="2"/>
  <c r="M13" i="2" s="1"/>
  <c r="B11" i="2"/>
  <c r="M11" i="2" s="1"/>
  <c r="A22" i="2"/>
  <c r="A23" i="2" s="1"/>
  <c r="A24" i="2" s="1"/>
  <c r="A25" i="2" s="1"/>
  <c r="K27" i="2"/>
  <c r="B9" i="2"/>
  <c r="M9" i="2" s="1"/>
  <c r="E9" i="2"/>
  <c r="B10" i="2"/>
  <c r="M10" i="2" s="1"/>
  <c r="E10" i="2"/>
  <c r="E14" i="2"/>
  <c r="B14" i="2"/>
  <c r="X18" i="13" l="1"/>
  <c r="U15" i="13"/>
  <c r="L22" i="13"/>
  <c r="L24" i="13" s="1"/>
  <c r="L20" i="13"/>
  <c r="M8" i="13"/>
  <c r="C7" i="13"/>
  <c r="A10" i="13"/>
  <c r="E9" i="13"/>
  <c r="B9" i="13"/>
  <c r="X18" i="12"/>
  <c r="U15" i="12"/>
  <c r="L22" i="12"/>
  <c r="L24" i="12" s="1"/>
  <c r="L20" i="12"/>
  <c r="M8" i="12"/>
  <c r="C7" i="12"/>
  <c r="A10" i="12"/>
  <c r="E9" i="12"/>
  <c r="B9" i="12"/>
  <c r="C11" i="2"/>
  <c r="C12" i="2"/>
  <c r="K28" i="2"/>
  <c r="K30" i="2" s="1"/>
  <c r="K29" i="2"/>
  <c r="C13" i="2"/>
  <c r="M14" i="2"/>
  <c r="L16" i="2"/>
  <c r="L50" i="2"/>
  <c r="L48" i="2"/>
  <c r="A26" i="2"/>
  <c r="A27" i="2" s="1"/>
  <c r="A28" i="2" s="1"/>
  <c r="A29" i="2" s="1"/>
  <c r="A30" i="2" s="1"/>
  <c r="A31" i="2" s="1"/>
  <c r="K37" i="2"/>
  <c r="C10" i="2"/>
  <c r="C9" i="2"/>
  <c r="B8" i="2"/>
  <c r="M8" i="2" s="1"/>
  <c r="E8" i="2"/>
  <c r="B15" i="2"/>
  <c r="E15" i="2"/>
  <c r="M9" i="13" l="1"/>
  <c r="C8" i="13"/>
  <c r="A11" i="13"/>
  <c r="E10" i="13"/>
  <c r="B10" i="13"/>
  <c r="L23" i="13"/>
  <c r="L25" i="13" s="1"/>
  <c r="L21" i="13"/>
  <c r="V15" i="13"/>
  <c r="W15" i="13" s="1"/>
  <c r="M9" i="12"/>
  <c r="C8" i="12"/>
  <c r="A11" i="12"/>
  <c r="E10" i="12"/>
  <c r="B10" i="12"/>
  <c r="L23" i="12"/>
  <c r="L25" i="12" s="1"/>
  <c r="L21" i="12"/>
  <c r="V15" i="12"/>
  <c r="W15" i="12" s="1"/>
  <c r="B31" i="2"/>
  <c r="E31" i="2"/>
  <c r="A32" i="2"/>
  <c r="L18" i="2"/>
  <c r="L19" i="2"/>
  <c r="L52" i="2"/>
  <c r="C14" i="2"/>
  <c r="M15" i="2"/>
  <c r="K38" i="2"/>
  <c r="K39" i="2"/>
  <c r="K40" i="2" s="1"/>
  <c r="B6" i="2"/>
  <c r="E7" i="2"/>
  <c r="C8" i="2"/>
  <c r="E16" i="2"/>
  <c r="B16" i="2"/>
  <c r="M10" i="13" l="1"/>
  <c r="C9" i="13"/>
  <c r="A12" i="13"/>
  <c r="E11" i="13"/>
  <c r="B11" i="13"/>
  <c r="M10" i="12"/>
  <c r="C9" i="12"/>
  <c r="A12" i="12"/>
  <c r="E11" i="12"/>
  <c r="B11" i="12"/>
  <c r="B32" i="2"/>
  <c r="C31" i="2" s="1"/>
  <c r="A33" i="2"/>
  <c r="E32" i="2"/>
  <c r="C15" i="2"/>
  <c r="M16" i="2"/>
  <c r="L55" i="2"/>
  <c r="L57" i="2" s="1"/>
  <c r="L53" i="2"/>
  <c r="L32" i="2"/>
  <c r="L34" i="2" s="1"/>
  <c r="M6" i="2"/>
  <c r="L33" i="2" s="1"/>
  <c r="L35" i="2" s="1"/>
  <c r="L20" i="2"/>
  <c r="L22" i="2"/>
  <c r="L24" i="2" s="1"/>
  <c r="C7" i="2"/>
  <c r="D2" i="2"/>
  <c r="C6" i="2"/>
  <c r="B17" i="2"/>
  <c r="E17" i="2"/>
  <c r="M11" i="13" l="1"/>
  <c r="C10" i="13"/>
  <c r="A13" i="13"/>
  <c r="E12" i="13"/>
  <c r="B12" i="13"/>
  <c r="M11" i="12"/>
  <c r="C10" i="12"/>
  <c r="A13" i="12"/>
  <c r="E12" i="12"/>
  <c r="B12" i="12"/>
  <c r="B33" i="2"/>
  <c r="C32" i="2" s="1"/>
  <c r="E33" i="2"/>
  <c r="A34" i="2"/>
  <c r="C16" i="2"/>
  <c r="M17" i="2"/>
  <c r="L21" i="2"/>
  <c r="L23" i="2"/>
  <c r="L25" i="2" s="1"/>
  <c r="E18" i="2"/>
  <c r="B18" i="2"/>
  <c r="M12" i="13" l="1"/>
  <c r="C11" i="13"/>
  <c r="A14" i="13"/>
  <c r="E13" i="13"/>
  <c r="B13" i="13"/>
  <c r="M12" i="12"/>
  <c r="C11" i="12"/>
  <c r="A14" i="12"/>
  <c r="E13" i="12"/>
  <c r="B13" i="12"/>
  <c r="B34" i="2"/>
  <c r="C33" i="2" s="1"/>
  <c r="A35" i="2"/>
  <c r="E34" i="2"/>
  <c r="C17" i="2"/>
  <c r="M18" i="2"/>
  <c r="B19" i="2"/>
  <c r="E19" i="2"/>
  <c r="M13" i="13" l="1"/>
  <c r="C12" i="13"/>
  <c r="A15" i="13"/>
  <c r="E14" i="13"/>
  <c r="B14" i="13"/>
  <c r="M13" i="12"/>
  <c r="C12" i="12"/>
  <c r="A15" i="12"/>
  <c r="E14" i="12"/>
  <c r="B14" i="12"/>
  <c r="E35" i="2"/>
  <c r="B35" i="2"/>
  <c r="C34" i="2" s="1"/>
  <c r="A36" i="2"/>
  <c r="C18" i="2"/>
  <c r="M19" i="2"/>
  <c r="E20" i="2"/>
  <c r="B20" i="2"/>
  <c r="M14" i="13" l="1"/>
  <c r="C13" i="13"/>
  <c r="A16" i="13"/>
  <c r="E15" i="13"/>
  <c r="B15" i="13"/>
  <c r="M14" i="12"/>
  <c r="C13" i="12"/>
  <c r="A16" i="12"/>
  <c r="E15" i="12"/>
  <c r="B15" i="12"/>
  <c r="E36" i="2"/>
  <c r="A37" i="2"/>
  <c r="B36" i="2"/>
  <c r="C35" i="2" s="1"/>
  <c r="C19" i="2"/>
  <c r="M20" i="2"/>
  <c r="B21" i="2"/>
  <c r="E21" i="2"/>
  <c r="M15" i="13" l="1"/>
  <c r="C14" i="13"/>
  <c r="A17" i="13"/>
  <c r="E16" i="13"/>
  <c r="B16" i="13"/>
  <c r="M15" i="12"/>
  <c r="C14" i="12"/>
  <c r="A17" i="12"/>
  <c r="E16" i="12"/>
  <c r="B16" i="12"/>
  <c r="B37" i="2"/>
  <c r="C36" i="2" s="1"/>
  <c r="A38" i="2"/>
  <c r="E37" i="2"/>
  <c r="C20" i="2"/>
  <c r="M21" i="2"/>
  <c r="L28" i="2" s="1"/>
  <c r="L30" i="2" s="1"/>
  <c r="L27" i="2"/>
  <c r="L29" i="2" s="1"/>
  <c r="E22" i="2"/>
  <c r="B22" i="2"/>
  <c r="M16" i="13" l="1"/>
  <c r="C15" i="13"/>
  <c r="A18" i="13"/>
  <c r="E17" i="13"/>
  <c r="B17" i="13"/>
  <c r="M16" i="12"/>
  <c r="C15" i="12"/>
  <c r="A18" i="12"/>
  <c r="E17" i="12"/>
  <c r="B17" i="12"/>
  <c r="A39" i="2"/>
  <c r="B38" i="2"/>
  <c r="C37" i="2" s="1"/>
  <c r="E38" i="2"/>
  <c r="C21" i="2"/>
  <c r="M22" i="2"/>
  <c r="B23" i="2"/>
  <c r="E23" i="2"/>
  <c r="M17" i="13" l="1"/>
  <c r="C16" i="13"/>
  <c r="A19" i="13"/>
  <c r="E18" i="13"/>
  <c r="B18" i="13"/>
  <c r="M17" i="12"/>
  <c r="C16" i="12"/>
  <c r="A19" i="12"/>
  <c r="E18" i="12"/>
  <c r="B18" i="12"/>
  <c r="B39" i="2"/>
  <c r="C38" i="2" s="1"/>
  <c r="A40" i="2"/>
  <c r="E39" i="2"/>
  <c r="C22" i="2"/>
  <c r="M23" i="2"/>
  <c r="E24" i="2"/>
  <c r="B24" i="2"/>
  <c r="M18" i="13" l="1"/>
  <c r="C17" i="13"/>
  <c r="A20" i="13"/>
  <c r="E19" i="13"/>
  <c r="B19" i="13"/>
  <c r="M18" i="12"/>
  <c r="C17" i="12"/>
  <c r="A20" i="12"/>
  <c r="E19" i="12"/>
  <c r="B19" i="12"/>
  <c r="E40" i="2"/>
  <c r="A41" i="2"/>
  <c r="B40" i="2"/>
  <c r="C39" i="2" s="1"/>
  <c r="C23" i="2"/>
  <c r="M24" i="2"/>
  <c r="E25" i="2"/>
  <c r="B25" i="2"/>
  <c r="M19" i="13" l="1"/>
  <c r="C18" i="13"/>
  <c r="A21" i="13"/>
  <c r="E20" i="13"/>
  <c r="B20" i="13"/>
  <c r="M19" i="12"/>
  <c r="C18" i="12"/>
  <c r="A21" i="12"/>
  <c r="E20" i="12"/>
  <c r="B20" i="12"/>
  <c r="B41" i="2"/>
  <c r="C40" i="2" s="1"/>
  <c r="E41" i="2"/>
  <c r="A42" i="2"/>
  <c r="C24" i="2"/>
  <c r="L37" i="2"/>
  <c r="L39" i="2" s="1"/>
  <c r="M25" i="2"/>
  <c r="L38" i="2" s="1"/>
  <c r="L40" i="2" s="1"/>
  <c r="B26" i="2"/>
  <c r="E26" i="2"/>
  <c r="M20" i="13" l="1"/>
  <c r="C19" i="13"/>
  <c r="K27" i="13"/>
  <c r="A22" i="13"/>
  <c r="E21" i="13"/>
  <c r="B21" i="13"/>
  <c r="M20" i="12"/>
  <c r="C19" i="12"/>
  <c r="K27" i="12"/>
  <c r="A22" i="12"/>
  <c r="E21" i="12"/>
  <c r="B21" i="12"/>
  <c r="E42" i="2"/>
  <c r="A43" i="2"/>
  <c r="B42" i="2"/>
  <c r="C41" i="2" s="1"/>
  <c r="C25" i="2"/>
  <c r="M26" i="2"/>
  <c r="B27" i="2"/>
  <c r="E27" i="2"/>
  <c r="L27" i="13" l="1"/>
  <c r="L29" i="13" s="1"/>
  <c r="M21" i="13"/>
  <c r="L28" i="13" s="1"/>
  <c r="L30" i="13" s="1"/>
  <c r="C20" i="13"/>
  <c r="A23" i="13"/>
  <c r="E22" i="13"/>
  <c r="B22" i="13"/>
  <c r="K29" i="13"/>
  <c r="K28" i="13"/>
  <c r="K30" i="13" s="1"/>
  <c r="L27" i="12"/>
  <c r="L29" i="12" s="1"/>
  <c r="M21" i="12"/>
  <c r="L28" i="12" s="1"/>
  <c r="L30" i="12" s="1"/>
  <c r="C20" i="12"/>
  <c r="A23" i="12"/>
  <c r="E22" i="12"/>
  <c r="B22" i="12"/>
  <c r="K29" i="12"/>
  <c r="K28" i="12"/>
  <c r="K30" i="12" s="1"/>
  <c r="B43" i="2"/>
  <c r="C42" i="2" s="1"/>
  <c r="A44" i="2"/>
  <c r="E43" i="2"/>
  <c r="C26" i="2"/>
  <c r="M27" i="2"/>
  <c r="E28" i="2"/>
  <c r="B28" i="2"/>
  <c r="M22" i="13" l="1"/>
  <c r="C21" i="13"/>
  <c r="A24" i="13"/>
  <c r="E23" i="13"/>
  <c r="B23" i="13"/>
  <c r="M22" i="12"/>
  <c r="C21" i="12"/>
  <c r="A24" i="12"/>
  <c r="E23" i="12"/>
  <c r="B23" i="12"/>
  <c r="A45" i="2"/>
  <c r="E44" i="2"/>
  <c r="B44" i="2"/>
  <c r="C43" i="2" s="1"/>
  <c r="C27" i="2"/>
  <c r="M28" i="2"/>
  <c r="E29" i="2"/>
  <c r="B29" i="2"/>
  <c r="M23" i="13" l="1"/>
  <c r="C22" i="13"/>
  <c r="A25" i="13"/>
  <c r="E24" i="13"/>
  <c r="B24" i="13"/>
  <c r="M23" i="12"/>
  <c r="C22" i="12"/>
  <c r="A25" i="12"/>
  <c r="E24" i="12"/>
  <c r="B24" i="12"/>
  <c r="B45" i="2"/>
  <c r="C44" i="2" s="1"/>
  <c r="A46" i="2"/>
  <c r="E45" i="2"/>
  <c r="C28" i="2"/>
  <c r="M29" i="2"/>
  <c r="B30" i="2"/>
  <c r="E30" i="2"/>
  <c r="M24" i="13" l="1"/>
  <c r="C23" i="13"/>
  <c r="K37" i="13"/>
  <c r="A26" i="13"/>
  <c r="E25" i="13"/>
  <c r="B25" i="13"/>
  <c r="M24" i="12"/>
  <c r="C23" i="12"/>
  <c r="K37" i="12"/>
  <c r="A26" i="12"/>
  <c r="E25" i="12"/>
  <c r="B25" i="12"/>
  <c r="E46" i="2"/>
  <c r="A47" i="2"/>
  <c r="B46" i="2"/>
  <c r="C45" i="2" s="1"/>
  <c r="C29" i="2"/>
  <c r="M30" i="2"/>
  <c r="L37" i="13" l="1"/>
  <c r="L39" i="13" s="1"/>
  <c r="M25" i="13"/>
  <c r="L38" i="13" s="1"/>
  <c r="L40" i="13" s="1"/>
  <c r="C24" i="13"/>
  <c r="A27" i="13"/>
  <c r="E26" i="13"/>
  <c r="B26" i="13"/>
  <c r="K39" i="13"/>
  <c r="K40" i="13" s="1"/>
  <c r="K38" i="13"/>
  <c r="L37" i="12"/>
  <c r="L39" i="12" s="1"/>
  <c r="M25" i="12"/>
  <c r="L38" i="12" s="1"/>
  <c r="L40" i="12" s="1"/>
  <c r="C24" i="12"/>
  <c r="A27" i="12"/>
  <c r="E26" i="12"/>
  <c r="B26" i="12"/>
  <c r="K39" i="12"/>
  <c r="K40" i="12" s="1"/>
  <c r="K38" i="12"/>
  <c r="A48" i="2"/>
  <c r="B47" i="2"/>
  <c r="C46" i="2" s="1"/>
  <c r="E47" i="2"/>
  <c r="C30" i="2"/>
  <c r="M31" i="2"/>
  <c r="M26" i="13" l="1"/>
  <c r="C25" i="13"/>
  <c r="A28" i="13"/>
  <c r="E27" i="13"/>
  <c r="B27" i="13"/>
  <c r="M26" i="12"/>
  <c r="C25" i="12"/>
  <c r="A28" i="12"/>
  <c r="E27" i="12"/>
  <c r="B27" i="12"/>
  <c r="B48" i="2"/>
  <c r="C47" i="2" s="1"/>
  <c r="A49" i="2"/>
  <c r="E48" i="2"/>
  <c r="M32" i="2"/>
  <c r="M27" i="13" l="1"/>
  <c r="C26" i="13"/>
  <c r="A29" i="13"/>
  <c r="E28" i="13"/>
  <c r="B28" i="13"/>
  <c r="M27" i="12"/>
  <c r="C26" i="12"/>
  <c r="A29" i="12"/>
  <c r="E28" i="12"/>
  <c r="B28" i="12"/>
  <c r="A50" i="2"/>
  <c r="B49" i="2"/>
  <c r="C48" i="2" s="1"/>
  <c r="E49" i="2"/>
  <c r="M33" i="2"/>
  <c r="M28" i="13" l="1"/>
  <c r="C27" i="13"/>
  <c r="A30" i="13"/>
  <c r="E29" i="13"/>
  <c r="B29" i="13"/>
  <c r="M28" i="12"/>
  <c r="C27" i="12"/>
  <c r="A30" i="12"/>
  <c r="E29" i="12"/>
  <c r="B29" i="12"/>
  <c r="A51" i="2"/>
  <c r="B50" i="2"/>
  <c r="C49" i="2" s="1"/>
  <c r="E50" i="2"/>
  <c r="M34" i="2"/>
  <c r="M29" i="13" l="1"/>
  <c r="C28" i="13"/>
  <c r="A31" i="13"/>
  <c r="E30" i="13"/>
  <c r="B30" i="13"/>
  <c r="M29" i="12"/>
  <c r="C28" i="12"/>
  <c r="A31" i="12"/>
  <c r="E30" i="12"/>
  <c r="B30" i="12"/>
  <c r="E51" i="2"/>
  <c r="B51" i="2"/>
  <c r="C50" i="2" s="1"/>
  <c r="A52" i="2"/>
  <c r="M35" i="2"/>
  <c r="M30" i="13" l="1"/>
  <c r="C29" i="13"/>
  <c r="A32" i="13"/>
  <c r="E31" i="13"/>
  <c r="B31" i="13"/>
  <c r="M30" i="12"/>
  <c r="C29" i="12"/>
  <c r="A32" i="12"/>
  <c r="E31" i="12"/>
  <c r="B31" i="12"/>
  <c r="A53" i="2"/>
  <c r="E52" i="2"/>
  <c r="B52" i="2"/>
  <c r="C51" i="2" s="1"/>
  <c r="M36" i="2"/>
  <c r="M31" i="13" l="1"/>
  <c r="C30" i="13"/>
  <c r="A33" i="13"/>
  <c r="E32" i="13"/>
  <c r="B32" i="13"/>
  <c r="M31" i="12"/>
  <c r="C30" i="12"/>
  <c r="A33" i="12"/>
  <c r="E32" i="12"/>
  <c r="B32" i="12"/>
  <c r="B53" i="2"/>
  <c r="C52" i="2" s="1"/>
  <c r="E53" i="2"/>
  <c r="A54" i="2"/>
  <c r="M37" i="2"/>
  <c r="M32" i="13" l="1"/>
  <c r="C31" i="13"/>
  <c r="A34" i="13"/>
  <c r="E33" i="13"/>
  <c r="B33" i="13"/>
  <c r="M32" i="12"/>
  <c r="C31" i="12"/>
  <c r="A34" i="12"/>
  <c r="E33" i="12"/>
  <c r="B33" i="12"/>
  <c r="E54" i="2"/>
  <c r="A55" i="2"/>
  <c r="B54" i="2"/>
  <c r="C53" i="2" s="1"/>
  <c r="M38" i="2"/>
  <c r="M33" i="13" l="1"/>
  <c r="C32" i="13"/>
  <c r="A35" i="13"/>
  <c r="E34" i="13"/>
  <c r="B34" i="13"/>
  <c r="M33" i="12"/>
  <c r="C32" i="12"/>
  <c r="A35" i="12"/>
  <c r="E34" i="12"/>
  <c r="B34" i="12"/>
  <c r="E55" i="2"/>
  <c r="A56" i="2"/>
  <c r="B55" i="2"/>
  <c r="C54" i="2" s="1"/>
  <c r="M39" i="2"/>
  <c r="M34" i="13" l="1"/>
  <c r="C33" i="13"/>
  <c r="A36" i="13"/>
  <c r="E35" i="13"/>
  <c r="B35" i="13"/>
  <c r="M34" i="12"/>
  <c r="C33" i="12"/>
  <c r="A36" i="12"/>
  <c r="E35" i="12"/>
  <c r="B35" i="12"/>
  <c r="B56" i="2"/>
  <c r="C55" i="2" s="1"/>
  <c r="E56" i="2"/>
  <c r="A57" i="2"/>
  <c r="M40" i="2"/>
  <c r="M35" i="13" l="1"/>
  <c r="C34" i="13"/>
  <c r="A37" i="13"/>
  <c r="E36" i="13"/>
  <c r="B36" i="13"/>
  <c r="M35" i="12"/>
  <c r="C34" i="12"/>
  <c r="A37" i="12"/>
  <c r="E36" i="12"/>
  <c r="B36" i="12"/>
  <c r="A58" i="2"/>
  <c r="B57" i="2"/>
  <c r="C56" i="2" s="1"/>
  <c r="E57" i="2"/>
  <c r="M41" i="2"/>
  <c r="M36" i="13" l="1"/>
  <c r="C35" i="13"/>
  <c r="A38" i="13"/>
  <c r="E37" i="13"/>
  <c r="B37" i="13"/>
  <c r="M36" i="12"/>
  <c r="C35" i="12"/>
  <c r="A38" i="12"/>
  <c r="E37" i="12"/>
  <c r="B37" i="12"/>
  <c r="A59" i="2"/>
  <c r="E58" i="2"/>
  <c r="B58" i="2"/>
  <c r="C57" i="2" s="1"/>
  <c r="M42" i="2"/>
  <c r="M37" i="13" l="1"/>
  <c r="C36" i="13"/>
  <c r="A39" i="13"/>
  <c r="E38" i="13"/>
  <c r="B38" i="13"/>
  <c r="M37" i="12"/>
  <c r="C36" i="12"/>
  <c r="A39" i="12"/>
  <c r="E38" i="12"/>
  <c r="B38" i="12"/>
  <c r="B59" i="2"/>
  <c r="C58" i="2" s="1"/>
  <c r="E59" i="2"/>
  <c r="A60" i="2"/>
  <c r="M43" i="2"/>
  <c r="M38" i="13" l="1"/>
  <c r="C37" i="13"/>
  <c r="A40" i="13"/>
  <c r="E39" i="13"/>
  <c r="B39" i="13"/>
  <c r="M38" i="12"/>
  <c r="C37" i="12"/>
  <c r="A40" i="12"/>
  <c r="E39" i="12"/>
  <c r="B39" i="12"/>
  <c r="A61" i="2"/>
  <c r="B60" i="2"/>
  <c r="C59" i="2" s="1"/>
  <c r="E60" i="2"/>
  <c r="M44" i="2"/>
  <c r="M39" i="13" l="1"/>
  <c r="C38" i="13"/>
  <c r="A41" i="13"/>
  <c r="E40" i="13"/>
  <c r="B40" i="13"/>
  <c r="M39" i="12"/>
  <c r="C38" i="12"/>
  <c r="A41" i="12"/>
  <c r="E40" i="12"/>
  <c r="B40" i="12"/>
  <c r="B61" i="2"/>
  <c r="C60" i="2" s="1"/>
  <c r="A62" i="2"/>
  <c r="E61" i="2"/>
  <c r="M45" i="2"/>
  <c r="M40" i="13" l="1"/>
  <c r="C39" i="13"/>
  <c r="A42" i="13"/>
  <c r="E41" i="13"/>
  <c r="B41" i="13"/>
  <c r="M40" i="12"/>
  <c r="C39" i="12"/>
  <c r="A42" i="12"/>
  <c r="E41" i="12"/>
  <c r="B41" i="12"/>
  <c r="A63" i="2"/>
  <c r="E62" i="2"/>
  <c r="B62" i="2"/>
  <c r="C61" i="2" s="1"/>
  <c r="M46" i="2"/>
  <c r="M41" i="13" l="1"/>
  <c r="C40" i="13"/>
  <c r="A43" i="13"/>
  <c r="E42" i="13"/>
  <c r="B42" i="13"/>
  <c r="M41" i="12"/>
  <c r="C40" i="12"/>
  <c r="A43" i="12"/>
  <c r="E42" i="12"/>
  <c r="B42" i="12"/>
  <c r="E63" i="2"/>
  <c r="B63" i="2"/>
  <c r="C62" i="2" s="1"/>
  <c r="A64" i="2"/>
  <c r="M47" i="2"/>
  <c r="M42" i="13" l="1"/>
  <c r="C41" i="13"/>
  <c r="A44" i="13"/>
  <c r="E43" i="13"/>
  <c r="B43" i="13"/>
  <c r="M42" i="12"/>
  <c r="C41" i="12"/>
  <c r="A44" i="12"/>
  <c r="E43" i="12"/>
  <c r="B43" i="12"/>
  <c r="B64" i="2"/>
  <c r="C63" i="2" s="1"/>
  <c r="E64" i="2"/>
  <c r="A65" i="2"/>
  <c r="M48" i="2"/>
  <c r="M43" i="13" l="1"/>
  <c r="C42" i="13"/>
  <c r="A45" i="13"/>
  <c r="E44" i="13"/>
  <c r="B44" i="13"/>
  <c r="M43" i="12"/>
  <c r="C42" i="12"/>
  <c r="A45" i="12"/>
  <c r="E44" i="12"/>
  <c r="B44" i="12"/>
  <c r="E65" i="2"/>
  <c r="A66" i="2"/>
  <c r="B65" i="2"/>
  <c r="C64" i="2" s="1"/>
  <c r="M49" i="2"/>
  <c r="M44" i="13" l="1"/>
  <c r="C43" i="13"/>
  <c r="A46" i="13"/>
  <c r="E45" i="13"/>
  <c r="B45" i="13"/>
  <c r="M44" i="12"/>
  <c r="C43" i="12"/>
  <c r="A46" i="12"/>
  <c r="E45" i="12"/>
  <c r="B45" i="12"/>
  <c r="B66" i="2"/>
  <c r="E66" i="2"/>
  <c r="M50" i="2"/>
  <c r="M45" i="13" l="1"/>
  <c r="C44" i="13"/>
  <c r="A47" i="13"/>
  <c r="E46" i="13"/>
  <c r="B46" i="13"/>
  <c r="M45" i="12"/>
  <c r="C44" i="12"/>
  <c r="A47" i="12"/>
  <c r="E46" i="12"/>
  <c r="B46" i="12"/>
  <c r="M66" i="2"/>
  <c r="C65" i="2"/>
  <c r="C66" i="2"/>
  <c r="M51" i="2"/>
  <c r="M46" i="13" l="1"/>
  <c r="C45" i="13"/>
  <c r="A48" i="13"/>
  <c r="E47" i="13"/>
  <c r="B47" i="13"/>
  <c r="M46" i="12"/>
  <c r="C45" i="12"/>
  <c r="A48" i="12"/>
  <c r="E47" i="12"/>
  <c r="B47" i="12"/>
  <c r="K42" i="2"/>
  <c r="M52" i="2"/>
  <c r="M47" i="13" l="1"/>
  <c r="C46" i="13"/>
  <c r="A49" i="13"/>
  <c r="E48" i="13"/>
  <c r="B48" i="13"/>
  <c r="M47" i="12"/>
  <c r="C46" i="12"/>
  <c r="A49" i="12"/>
  <c r="E48" i="12"/>
  <c r="B48" i="12"/>
  <c r="K43" i="2"/>
  <c r="K44" i="2"/>
  <c r="K45" i="2" s="1"/>
  <c r="L43" i="2"/>
  <c r="L45" i="2" s="1"/>
  <c r="L42" i="2"/>
  <c r="L44" i="2" s="1"/>
  <c r="M53" i="2"/>
  <c r="M48" i="13" l="1"/>
  <c r="C47" i="13"/>
  <c r="A50" i="13"/>
  <c r="E49" i="13"/>
  <c r="B49" i="13"/>
  <c r="M48" i="12"/>
  <c r="C47" i="12"/>
  <c r="A50" i="12"/>
  <c r="E49" i="12"/>
  <c r="B49" i="12"/>
  <c r="M54" i="2"/>
  <c r="M49" i="13" l="1"/>
  <c r="C48" i="13"/>
  <c r="A51" i="13"/>
  <c r="E50" i="13"/>
  <c r="B50" i="13"/>
  <c r="M49" i="12"/>
  <c r="C48" i="12"/>
  <c r="A51" i="12"/>
  <c r="E50" i="12"/>
  <c r="B50" i="12"/>
  <c r="M55" i="2"/>
  <c r="M50" i="13" l="1"/>
  <c r="C49" i="13"/>
  <c r="A52" i="13"/>
  <c r="E51" i="13"/>
  <c r="B51" i="13"/>
  <c r="M50" i="12"/>
  <c r="C49" i="12"/>
  <c r="A52" i="12"/>
  <c r="E51" i="12"/>
  <c r="B51" i="12"/>
  <c r="M56" i="2"/>
  <c r="M51" i="13" l="1"/>
  <c r="C50" i="13"/>
  <c r="A53" i="13"/>
  <c r="E52" i="13"/>
  <c r="B52" i="13"/>
  <c r="M51" i="12"/>
  <c r="C50" i="12"/>
  <c r="A53" i="12"/>
  <c r="E52" i="12"/>
  <c r="B52" i="12"/>
  <c r="M57" i="2"/>
  <c r="M52" i="13" l="1"/>
  <c r="C51" i="13"/>
  <c r="A54" i="13"/>
  <c r="E53" i="13"/>
  <c r="B53" i="13"/>
  <c r="M52" i="12"/>
  <c r="C51" i="12"/>
  <c r="A54" i="12"/>
  <c r="E53" i="12"/>
  <c r="B53" i="12"/>
  <c r="M58" i="2"/>
  <c r="M53" i="13" l="1"/>
  <c r="C52" i="13"/>
  <c r="A55" i="13"/>
  <c r="E54" i="13"/>
  <c r="B54" i="13"/>
  <c r="M53" i="12"/>
  <c r="C52" i="12"/>
  <c r="A55" i="12"/>
  <c r="E54" i="12"/>
  <c r="B54" i="12"/>
  <c r="M59" i="2"/>
  <c r="M54" i="13" l="1"/>
  <c r="C53" i="13"/>
  <c r="A56" i="13"/>
  <c r="E55" i="13"/>
  <c r="B55" i="13"/>
  <c r="M54" i="12"/>
  <c r="C53" i="12"/>
  <c r="A56" i="12"/>
  <c r="E55" i="12"/>
  <c r="B55" i="12"/>
  <c r="D66" i="2"/>
  <c r="D65" i="2" s="1"/>
  <c r="D64" i="2" s="1"/>
  <c r="D63" i="2" s="1"/>
  <c r="D62" i="2" s="1"/>
  <c r="D61" i="2" s="1"/>
  <c r="D60" i="2" s="1"/>
  <c r="D59" i="2" s="1"/>
  <c r="D58" i="2" s="1"/>
  <c r="D57" i="2" s="1"/>
  <c r="D56" i="2" s="1"/>
  <c r="D55" i="2" s="1"/>
  <c r="D54" i="2" s="1"/>
  <c r="D53" i="2" s="1"/>
  <c r="D52" i="2" s="1"/>
  <c r="D51" i="2" s="1"/>
  <c r="D50" i="2" s="1"/>
  <c r="D49" i="2" s="1"/>
  <c r="D48" i="2" s="1"/>
  <c r="D47" i="2" s="1"/>
  <c r="D46" i="2" s="1"/>
  <c r="D45" i="2" s="1"/>
  <c r="D44" i="2" s="1"/>
  <c r="D43" i="2" s="1"/>
  <c r="D42" i="2" s="1"/>
  <c r="D41" i="2" s="1"/>
  <c r="D40" i="2" s="1"/>
  <c r="D39" i="2" s="1"/>
  <c r="D38" i="2" s="1"/>
  <c r="D37" i="2" s="1"/>
  <c r="D36" i="2" s="1"/>
  <c r="D35" i="2" s="1"/>
  <c r="D34" i="2" s="1"/>
  <c r="D33" i="2" s="1"/>
  <c r="D32" i="2" s="1"/>
  <c r="D31" i="2" s="1"/>
  <c r="M60" i="2"/>
  <c r="M55" i="13" l="1"/>
  <c r="C54" i="13"/>
  <c r="A57" i="13"/>
  <c r="E56" i="13"/>
  <c r="B56" i="13"/>
  <c r="M55" i="12"/>
  <c r="C54" i="12"/>
  <c r="A57" i="12"/>
  <c r="E56" i="12"/>
  <c r="B56" i="12"/>
  <c r="M61" i="2"/>
  <c r="M56" i="13" l="1"/>
  <c r="C55" i="13"/>
  <c r="A58" i="13"/>
  <c r="E57" i="13"/>
  <c r="B57" i="13"/>
  <c r="M56" i="12"/>
  <c r="C55" i="12"/>
  <c r="A58" i="12"/>
  <c r="E57" i="12"/>
  <c r="B57" i="12"/>
  <c r="M62" i="2"/>
  <c r="M57" i="13" l="1"/>
  <c r="C56" i="13"/>
  <c r="A59" i="13"/>
  <c r="E58" i="13"/>
  <c r="B58" i="13"/>
  <c r="M57" i="12"/>
  <c r="C56" i="12"/>
  <c r="A59" i="12"/>
  <c r="E58" i="12"/>
  <c r="B58" i="12"/>
  <c r="M63" i="2"/>
  <c r="M58" i="13" l="1"/>
  <c r="C57" i="13"/>
  <c r="A60" i="13"/>
  <c r="E59" i="13"/>
  <c r="B59" i="13"/>
  <c r="M58" i="12"/>
  <c r="C57" i="12"/>
  <c r="A60" i="12"/>
  <c r="E59" i="12"/>
  <c r="B59" i="12"/>
  <c r="M64" i="2"/>
  <c r="M59" i="13" l="1"/>
  <c r="C58" i="13"/>
  <c r="A61" i="13"/>
  <c r="E60" i="13"/>
  <c r="D60" i="13"/>
  <c r="B60" i="13"/>
  <c r="M59" i="12"/>
  <c r="C58" i="12"/>
  <c r="A61" i="12"/>
  <c r="E60" i="12"/>
  <c r="B60" i="12"/>
  <c r="M65" i="2"/>
  <c r="M60" i="13" l="1"/>
  <c r="C59" i="13"/>
  <c r="A62" i="13"/>
  <c r="E61" i="13"/>
  <c r="D61" i="13"/>
  <c r="B61" i="13"/>
  <c r="M60" i="12"/>
  <c r="C59" i="12"/>
  <c r="A62" i="12"/>
  <c r="E61" i="12"/>
  <c r="B61" i="12"/>
  <c r="M61" i="13" l="1"/>
  <c r="C60" i="13"/>
  <c r="D59" i="13" s="1"/>
  <c r="D58" i="13" s="1"/>
  <c r="D57" i="13" s="1"/>
  <c r="D56" i="13" s="1"/>
  <c r="D55" i="13" s="1"/>
  <c r="D54" i="13" s="1"/>
  <c r="D53" i="13" s="1"/>
  <c r="D52" i="13" s="1"/>
  <c r="D51" i="13" s="1"/>
  <c r="D50" i="13" s="1"/>
  <c r="D49" i="13" s="1"/>
  <c r="D48" i="13" s="1"/>
  <c r="D47" i="13" s="1"/>
  <c r="D46" i="13" s="1"/>
  <c r="D45" i="13" s="1"/>
  <c r="D44" i="13" s="1"/>
  <c r="D43" i="13" s="1"/>
  <c r="D42" i="13" s="1"/>
  <c r="D41" i="13" s="1"/>
  <c r="D40" i="13" s="1"/>
  <c r="D39" i="13" s="1"/>
  <c r="D38" i="13" s="1"/>
  <c r="D37" i="13" s="1"/>
  <c r="D36" i="13" s="1"/>
  <c r="D35" i="13" s="1"/>
  <c r="D34" i="13" s="1"/>
  <c r="D33" i="13" s="1"/>
  <c r="D32" i="13" s="1"/>
  <c r="D31" i="13" s="1"/>
  <c r="D30" i="13" s="1"/>
  <c r="D29" i="13" s="1"/>
  <c r="D28" i="13" s="1"/>
  <c r="D27" i="13" s="1"/>
  <c r="D26" i="13" s="1"/>
  <c r="D25" i="13" s="1"/>
  <c r="D24" i="13" s="1"/>
  <c r="D23" i="13" s="1"/>
  <c r="D22" i="13" s="1"/>
  <c r="D21" i="13" s="1"/>
  <c r="D20" i="13" s="1"/>
  <c r="D19" i="13" s="1"/>
  <c r="D18" i="13" s="1"/>
  <c r="D17" i="13" s="1"/>
  <c r="D16" i="13" s="1"/>
  <c r="D15" i="13" s="1"/>
  <c r="D14" i="13" s="1"/>
  <c r="D13" i="13" s="1"/>
  <c r="D12" i="13" s="1"/>
  <c r="D11" i="13" s="1"/>
  <c r="D10" i="13" s="1"/>
  <c r="D9" i="13" s="1"/>
  <c r="D8" i="13" s="1"/>
  <c r="D7" i="13" s="1"/>
  <c r="D6" i="13" s="1"/>
  <c r="A63" i="13"/>
  <c r="E62" i="13"/>
  <c r="D62" i="13"/>
  <c r="B62" i="13"/>
  <c r="M61" i="12"/>
  <c r="C60" i="12"/>
  <c r="A63" i="12"/>
  <c r="E62" i="12"/>
  <c r="B62" i="12"/>
  <c r="M62" i="13" l="1"/>
  <c r="C61" i="13"/>
  <c r="A64" i="13"/>
  <c r="E63" i="13"/>
  <c r="D63" i="13"/>
  <c r="B63" i="13"/>
  <c r="M62" i="12"/>
  <c r="C61" i="12"/>
  <c r="A64" i="12"/>
  <c r="E63" i="12"/>
  <c r="B63" i="12"/>
  <c r="M63" i="13" l="1"/>
  <c r="C62" i="13"/>
  <c r="A65" i="13"/>
  <c r="E64" i="13"/>
  <c r="D64" i="13"/>
  <c r="B64" i="13"/>
  <c r="M63" i="12"/>
  <c r="C62" i="12"/>
  <c r="A65" i="12"/>
  <c r="E64" i="12"/>
  <c r="B64" i="12"/>
  <c r="M64" i="13" l="1"/>
  <c r="C63" i="13"/>
  <c r="A66" i="13"/>
  <c r="E65" i="13"/>
  <c r="D65" i="13"/>
  <c r="B65" i="13"/>
  <c r="M64" i="12"/>
  <c r="C63" i="12"/>
  <c r="A66" i="12"/>
  <c r="E65" i="12"/>
  <c r="B65" i="12"/>
  <c r="M65" i="13" l="1"/>
  <c r="C64" i="13"/>
  <c r="A67" i="13"/>
  <c r="E66" i="13"/>
  <c r="D66" i="13"/>
  <c r="B66" i="13"/>
  <c r="M65" i="12"/>
  <c r="C64" i="12"/>
  <c r="A67" i="12"/>
  <c r="E66" i="12"/>
  <c r="B66" i="12"/>
  <c r="M66" i="13" l="1"/>
  <c r="C65" i="13"/>
  <c r="A68" i="13"/>
  <c r="E67" i="13"/>
  <c r="D67" i="13"/>
  <c r="B67" i="13"/>
  <c r="M66" i="12"/>
  <c r="C65" i="12"/>
  <c r="A68" i="12"/>
  <c r="E67" i="12"/>
  <c r="B67" i="12"/>
  <c r="M67" i="13" l="1"/>
  <c r="C66" i="13"/>
  <c r="A69" i="13"/>
  <c r="E68" i="13"/>
  <c r="D68" i="13"/>
  <c r="B68" i="13"/>
  <c r="M67" i="12"/>
  <c r="C66" i="12"/>
  <c r="A69" i="12"/>
  <c r="E68" i="12"/>
  <c r="B68" i="12"/>
  <c r="M68" i="13" l="1"/>
  <c r="C67" i="13"/>
  <c r="A70" i="13"/>
  <c r="E69" i="13"/>
  <c r="D69" i="13"/>
  <c r="B69" i="13"/>
  <c r="K42" i="13"/>
  <c r="M68" i="12"/>
  <c r="C67" i="12"/>
  <c r="A70" i="12"/>
  <c r="E69" i="12"/>
  <c r="B69" i="12"/>
  <c r="K42" i="12"/>
  <c r="K44" i="13" l="1"/>
  <c r="K45" i="13" s="1"/>
  <c r="K43" i="13"/>
  <c r="M69" i="13"/>
  <c r="L43" i="13" s="1"/>
  <c r="L45" i="13" s="1"/>
  <c r="C68" i="13"/>
  <c r="L42" i="13"/>
  <c r="L44" i="13" s="1"/>
  <c r="A71" i="13"/>
  <c r="E70" i="13"/>
  <c r="D70" i="13"/>
  <c r="B70" i="13"/>
  <c r="K44" i="12"/>
  <c r="K45" i="12" s="1"/>
  <c r="K43" i="12"/>
  <c r="M69" i="12"/>
  <c r="L43" i="12" s="1"/>
  <c r="L45" i="12" s="1"/>
  <c r="C68" i="12"/>
  <c r="L42" i="12"/>
  <c r="L44" i="12" s="1"/>
  <c r="A71" i="12"/>
  <c r="E70" i="12"/>
  <c r="B70" i="12"/>
  <c r="M70" i="13" l="1"/>
  <c r="C69" i="13"/>
  <c r="A72" i="13"/>
  <c r="E71" i="13"/>
  <c r="D71" i="13"/>
  <c r="B71" i="13"/>
  <c r="M70" i="12"/>
  <c r="C69" i="12"/>
  <c r="A72" i="12"/>
  <c r="E71" i="12"/>
  <c r="B71" i="12"/>
  <c r="M71" i="13" l="1"/>
  <c r="C70" i="13"/>
  <c r="A73" i="13"/>
  <c r="E72" i="13"/>
  <c r="D72" i="13"/>
  <c r="B72" i="13"/>
  <c r="M71" i="12"/>
  <c r="C70" i="12"/>
  <c r="A73" i="12"/>
  <c r="E72" i="12"/>
  <c r="B72" i="12"/>
  <c r="M72" i="13" l="1"/>
  <c r="C71" i="13"/>
  <c r="A74" i="13"/>
  <c r="E73" i="13"/>
  <c r="D73" i="13"/>
  <c r="B73" i="13"/>
  <c r="M72" i="12"/>
  <c r="C71" i="12"/>
  <c r="A74" i="12"/>
  <c r="E73" i="12"/>
  <c r="B73" i="12"/>
  <c r="M73" i="13" l="1"/>
  <c r="C72" i="13"/>
  <c r="A75" i="13"/>
  <c r="E74" i="13"/>
  <c r="D74" i="13"/>
  <c r="B74" i="13"/>
  <c r="M73" i="12"/>
  <c r="C72" i="12"/>
  <c r="A75" i="12"/>
  <c r="E74" i="12"/>
  <c r="B74" i="12"/>
  <c r="M74" i="13" l="1"/>
  <c r="C73" i="13"/>
  <c r="A76" i="13"/>
  <c r="E75" i="13"/>
  <c r="D75" i="13"/>
  <c r="B75" i="13"/>
  <c r="M74" i="12"/>
  <c r="C73" i="12"/>
  <c r="A76" i="12"/>
  <c r="E75" i="12"/>
  <c r="D75" i="12"/>
  <c r="B75" i="12"/>
  <c r="M75" i="13" l="1"/>
  <c r="C74" i="13"/>
  <c r="A77" i="13"/>
  <c r="E76" i="13"/>
  <c r="D76" i="13"/>
  <c r="B76" i="13"/>
  <c r="M75" i="12"/>
  <c r="C74" i="12"/>
  <c r="A77" i="12"/>
  <c r="E76" i="12"/>
  <c r="D76" i="12"/>
  <c r="B76" i="12"/>
  <c r="M76" i="13" l="1"/>
  <c r="C75" i="13"/>
  <c r="A78" i="13"/>
  <c r="E77" i="13"/>
  <c r="D77" i="13"/>
  <c r="B77" i="13"/>
  <c r="M76" i="12"/>
  <c r="C75" i="12"/>
  <c r="D74" i="12" s="1"/>
  <c r="D73" i="12" s="1"/>
  <c r="D72" i="12" s="1"/>
  <c r="D71" i="12" s="1"/>
  <c r="D70" i="12" s="1"/>
  <c r="D69" i="12" s="1"/>
  <c r="D68" i="12" s="1"/>
  <c r="D67" i="12" s="1"/>
  <c r="D66" i="12" s="1"/>
  <c r="D65" i="12" s="1"/>
  <c r="D64" i="12" s="1"/>
  <c r="D63" i="12" s="1"/>
  <c r="D62" i="12" s="1"/>
  <c r="D61" i="12" s="1"/>
  <c r="D60" i="12" s="1"/>
  <c r="D59" i="12" s="1"/>
  <c r="D58" i="12" s="1"/>
  <c r="D57" i="12" s="1"/>
  <c r="D56" i="12" s="1"/>
  <c r="D55" i="12" s="1"/>
  <c r="D54" i="12" s="1"/>
  <c r="D53" i="12" s="1"/>
  <c r="D52" i="12" s="1"/>
  <c r="D51" i="12" s="1"/>
  <c r="D50" i="12" s="1"/>
  <c r="D49" i="12" s="1"/>
  <c r="D48" i="12" s="1"/>
  <c r="D47" i="12" s="1"/>
  <c r="D46" i="12" s="1"/>
  <c r="D45" i="12" s="1"/>
  <c r="D44" i="12" s="1"/>
  <c r="D43" i="12" s="1"/>
  <c r="D42" i="12" s="1"/>
  <c r="D41" i="12" s="1"/>
  <c r="D40" i="12" s="1"/>
  <c r="D39" i="12" s="1"/>
  <c r="D38" i="12" s="1"/>
  <c r="D37" i="12" s="1"/>
  <c r="D36" i="12" s="1"/>
  <c r="D35" i="12" s="1"/>
  <c r="D34" i="12" s="1"/>
  <c r="D33" i="12" s="1"/>
  <c r="D32" i="12" s="1"/>
  <c r="D31" i="12" s="1"/>
  <c r="D30" i="12" s="1"/>
  <c r="D29" i="12" s="1"/>
  <c r="D28" i="12" s="1"/>
  <c r="D27" i="12" s="1"/>
  <c r="D26" i="12" s="1"/>
  <c r="D25" i="12" s="1"/>
  <c r="D24" i="12" s="1"/>
  <c r="D23" i="12" s="1"/>
  <c r="D22" i="12" s="1"/>
  <c r="D21" i="12" s="1"/>
  <c r="D20" i="12" s="1"/>
  <c r="D19" i="12" s="1"/>
  <c r="D18" i="12" s="1"/>
  <c r="D17" i="12" s="1"/>
  <c r="D16" i="12" s="1"/>
  <c r="D15" i="12" s="1"/>
  <c r="D14" i="12" s="1"/>
  <c r="D13" i="12" s="1"/>
  <c r="D12" i="12" s="1"/>
  <c r="D11" i="12" s="1"/>
  <c r="D10" i="12" s="1"/>
  <c r="D9" i="12" s="1"/>
  <c r="D8" i="12" s="1"/>
  <c r="D7" i="12" s="1"/>
  <c r="D6" i="12" s="1"/>
  <c r="A78" i="12"/>
  <c r="E77" i="12"/>
  <c r="D77" i="12"/>
  <c r="B77" i="12"/>
  <c r="M77" i="13" l="1"/>
  <c r="C76" i="13"/>
  <c r="A79" i="13"/>
  <c r="E78" i="13"/>
  <c r="D78" i="13"/>
  <c r="B78" i="13"/>
  <c r="M77" i="12"/>
  <c r="C76" i="12"/>
  <c r="A79" i="12"/>
  <c r="E78" i="12"/>
  <c r="D78" i="12"/>
  <c r="B78" i="12"/>
  <c r="M78" i="13" l="1"/>
  <c r="C77" i="13"/>
  <c r="A80" i="13"/>
  <c r="E79" i="13"/>
  <c r="D79" i="13"/>
  <c r="B79" i="13"/>
  <c r="M78" i="12"/>
  <c r="C77" i="12"/>
  <c r="A80" i="12"/>
  <c r="E79" i="12"/>
  <c r="D79" i="12"/>
  <c r="B79" i="12"/>
  <c r="M79" i="13" l="1"/>
  <c r="C78" i="13"/>
  <c r="A81" i="13"/>
  <c r="E80" i="13"/>
  <c r="D80" i="13"/>
  <c r="B80" i="13"/>
  <c r="M79" i="12"/>
  <c r="C78" i="12"/>
  <c r="A81" i="12"/>
  <c r="E80" i="12"/>
  <c r="D80" i="12"/>
  <c r="B80" i="12"/>
  <c r="M80" i="13" l="1"/>
  <c r="C79" i="13"/>
  <c r="A82" i="13"/>
  <c r="E81" i="13"/>
  <c r="D81" i="13"/>
  <c r="B81" i="13"/>
  <c r="M80" i="12"/>
  <c r="C79" i="12"/>
  <c r="A82" i="12"/>
  <c r="E81" i="12"/>
  <c r="D81" i="12"/>
  <c r="B81" i="12"/>
  <c r="M81" i="13" l="1"/>
  <c r="C80" i="13"/>
  <c r="A83" i="13"/>
  <c r="E82" i="13"/>
  <c r="D82" i="13"/>
  <c r="B82" i="13"/>
  <c r="M81" i="12"/>
  <c r="C80" i="12"/>
  <c r="A83" i="12"/>
  <c r="E82" i="12"/>
  <c r="D82" i="12"/>
  <c r="B82" i="12"/>
  <c r="M82" i="13" l="1"/>
  <c r="C81" i="13"/>
  <c r="A84" i="13"/>
  <c r="E83" i="13"/>
  <c r="D83" i="13"/>
  <c r="B83" i="13"/>
  <c r="M82" i="12"/>
  <c r="C81" i="12"/>
  <c r="A84" i="12"/>
  <c r="E83" i="12"/>
  <c r="D83" i="12"/>
  <c r="B83" i="12"/>
  <c r="M83" i="13" l="1"/>
  <c r="C82" i="13"/>
  <c r="A85" i="13"/>
  <c r="E84" i="13"/>
  <c r="D84" i="13"/>
  <c r="B84" i="13"/>
  <c r="M83" i="12"/>
  <c r="C82" i="12"/>
  <c r="A85" i="12"/>
  <c r="E84" i="12"/>
  <c r="D84" i="12"/>
  <c r="B84" i="12"/>
  <c r="M84" i="13" l="1"/>
  <c r="C83" i="13"/>
  <c r="A86" i="13"/>
  <c r="E85" i="13"/>
  <c r="D85" i="13"/>
  <c r="B85" i="13"/>
  <c r="M84" i="12"/>
  <c r="C83" i="12"/>
  <c r="A86" i="12"/>
  <c r="E85" i="12"/>
  <c r="D85" i="12"/>
  <c r="B85" i="12"/>
  <c r="M85" i="13" l="1"/>
  <c r="C84" i="13"/>
  <c r="A87" i="13"/>
  <c r="E86" i="13"/>
  <c r="D86" i="13"/>
  <c r="B86" i="13"/>
  <c r="M85" i="12"/>
  <c r="C84" i="12"/>
  <c r="A87" i="12"/>
  <c r="E86" i="12"/>
  <c r="D86" i="12"/>
  <c r="B86" i="12"/>
  <c r="M86" i="13" l="1"/>
  <c r="C85" i="13"/>
  <c r="A88" i="13"/>
  <c r="E87" i="13"/>
  <c r="D87" i="13"/>
  <c r="B87" i="13"/>
  <c r="M86" i="12"/>
  <c r="C85" i="12"/>
  <c r="A88" i="12"/>
  <c r="E87" i="12"/>
  <c r="D87" i="12"/>
  <c r="B87" i="12"/>
  <c r="M87" i="13" l="1"/>
  <c r="C86" i="13"/>
  <c r="A89" i="13"/>
  <c r="E88" i="13"/>
  <c r="D88" i="13"/>
  <c r="B88" i="13"/>
  <c r="M87" i="12"/>
  <c r="C86" i="12"/>
  <c r="A89" i="12"/>
  <c r="E88" i="12"/>
  <c r="D88" i="12"/>
  <c r="B88" i="12"/>
  <c r="M88" i="13" l="1"/>
  <c r="C87" i="13"/>
  <c r="A90" i="13"/>
  <c r="E89" i="13"/>
  <c r="D89" i="13"/>
  <c r="B89" i="13"/>
  <c r="M88" i="12"/>
  <c r="C87" i="12"/>
  <c r="A90" i="12"/>
  <c r="E89" i="12"/>
  <c r="D89" i="12"/>
  <c r="B89" i="12"/>
  <c r="M89" i="13" l="1"/>
  <c r="C88" i="13"/>
  <c r="A91" i="13"/>
  <c r="E90" i="13"/>
  <c r="D90" i="13"/>
  <c r="B90" i="13"/>
  <c r="M89" i="12"/>
  <c r="C88" i="12"/>
  <c r="A91" i="12"/>
  <c r="E90" i="12"/>
  <c r="D90" i="12"/>
  <c r="B90" i="12"/>
  <c r="M90" i="13" l="1"/>
  <c r="C89" i="13"/>
  <c r="A92" i="13"/>
  <c r="E91" i="13"/>
  <c r="D91" i="13"/>
  <c r="B91" i="13"/>
  <c r="M90" i="12"/>
  <c r="C89" i="12"/>
  <c r="A92" i="12"/>
  <c r="E91" i="12"/>
  <c r="D91" i="12"/>
  <c r="B91" i="12"/>
  <c r="M91" i="13" l="1"/>
  <c r="C90" i="13"/>
  <c r="A93" i="13"/>
  <c r="E92" i="13"/>
  <c r="D92" i="13"/>
  <c r="B92" i="13"/>
  <c r="M91" i="12"/>
  <c r="C90" i="12"/>
  <c r="A93" i="12"/>
  <c r="E92" i="12"/>
  <c r="D92" i="12"/>
  <c r="B92" i="12"/>
  <c r="M92" i="13" l="1"/>
  <c r="C91" i="13"/>
  <c r="A94" i="13"/>
  <c r="E93" i="13"/>
  <c r="D93" i="13"/>
  <c r="B93" i="13"/>
  <c r="M92" i="12"/>
  <c r="C91" i="12"/>
  <c r="A94" i="12"/>
  <c r="E93" i="12"/>
  <c r="D93" i="12"/>
  <c r="B93" i="12"/>
  <c r="M93" i="13" l="1"/>
  <c r="C92" i="13"/>
  <c r="A95" i="13"/>
  <c r="E94" i="13"/>
  <c r="D94" i="13"/>
  <c r="B94" i="13"/>
  <c r="M93" i="12"/>
  <c r="C92" i="12"/>
  <c r="A95" i="12"/>
  <c r="E94" i="12"/>
  <c r="D94" i="12"/>
  <c r="B94" i="12"/>
  <c r="M94" i="13" l="1"/>
  <c r="C93" i="13"/>
  <c r="A96" i="13"/>
  <c r="E95" i="13"/>
  <c r="D95" i="13"/>
  <c r="B95" i="13"/>
  <c r="M94" i="12"/>
  <c r="C93" i="12"/>
  <c r="A96" i="12"/>
  <c r="E95" i="12"/>
  <c r="D95" i="12"/>
  <c r="B95" i="12"/>
  <c r="M95" i="13" l="1"/>
  <c r="C94" i="13"/>
  <c r="A97" i="13"/>
  <c r="E96" i="13"/>
  <c r="D96" i="13"/>
  <c r="B96" i="13"/>
  <c r="M95" i="12"/>
  <c r="C94" i="12"/>
  <c r="A97" i="12"/>
  <c r="E96" i="12"/>
  <c r="D96" i="12"/>
  <c r="B96" i="12"/>
  <c r="M96" i="13" l="1"/>
  <c r="C95" i="13"/>
  <c r="A98" i="13"/>
  <c r="E97" i="13"/>
  <c r="D97" i="13"/>
  <c r="B97" i="13"/>
  <c r="M96" i="12"/>
  <c r="C95" i="12"/>
  <c r="A98" i="12"/>
  <c r="E97" i="12"/>
  <c r="D97" i="12"/>
  <c r="B97" i="12"/>
  <c r="M97" i="13" l="1"/>
  <c r="C96" i="13"/>
  <c r="A99" i="13"/>
  <c r="E98" i="13"/>
  <c r="D98" i="13"/>
  <c r="B98" i="13"/>
  <c r="M97" i="12"/>
  <c r="C96" i="12"/>
  <c r="A99" i="12"/>
  <c r="E98" i="12"/>
  <c r="D98" i="12"/>
  <c r="B98" i="12"/>
  <c r="M98" i="13" l="1"/>
  <c r="C97" i="13"/>
  <c r="A100" i="13"/>
  <c r="E99" i="13"/>
  <c r="D99" i="13"/>
  <c r="B99" i="13"/>
  <c r="M98" i="12"/>
  <c r="C97" i="12"/>
  <c r="A100" i="12"/>
  <c r="E99" i="12"/>
  <c r="D99" i="12"/>
  <c r="B99" i="12"/>
  <c r="M99" i="13" l="1"/>
  <c r="C98" i="13"/>
  <c r="A101" i="13"/>
  <c r="E100" i="13"/>
  <c r="D100" i="13"/>
  <c r="B100" i="13"/>
  <c r="M99" i="12"/>
  <c r="C98" i="12"/>
  <c r="A101" i="12"/>
  <c r="E100" i="12"/>
  <c r="D100" i="12"/>
  <c r="B100" i="12"/>
  <c r="M100" i="13" l="1"/>
  <c r="C99" i="13"/>
  <c r="A102" i="13"/>
  <c r="E101" i="13"/>
  <c r="D101" i="13"/>
  <c r="B101" i="13"/>
  <c r="M100" i="12"/>
  <c r="C99" i="12"/>
  <c r="A102" i="12"/>
  <c r="E101" i="12"/>
  <c r="D101" i="12"/>
  <c r="B101" i="12"/>
  <c r="M101" i="13" l="1"/>
  <c r="C100" i="13"/>
  <c r="A103" i="13"/>
  <c r="E102" i="13"/>
  <c r="D102" i="13"/>
  <c r="B102" i="13"/>
  <c r="M101" i="12"/>
  <c r="C100" i="12"/>
  <c r="A103" i="12"/>
  <c r="E102" i="12"/>
  <c r="D102" i="12"/>
  <c r="B102" i="12"/>
  <c r="M102" i="13" l="1"/>
  <c r="C101" i="13"/>
  <c r="A104" i="13"/>
  <c r="E103" i="13"/>
  <c r="D103" i="13"/>
  <c r="B103" i="13"/>
  <c r="M102" i="12"/>
  <c r="C101" i="12"/>
  <c r="A104" i="12"/>
  <c r="E103" i="12"/>
  <c r="D103" i="12"/>
  <c r="B103" i="12"/>
  <c r="M103" i="13" l="1"/>
  <c r="C102" i="13"/>
  <c r="A105" i="13"/>
  <c r="E104" i="13"/>
  <c r="D104" i="13"/>
  <c r="B104" i="13"/>
  <c r="M103" i="12"/>
  <c r="C102" i="12"/>
  <c r="A105" i="12"/>
  <c r="E104" i="12"/>
  <c r="D104" i="12"/>
  <c r="B104" i="12"/>
  <c r="M104" i="13" l="1"/>
  <c r="C103" i="13"/>
  <c r="A106" i="13"/>
  <c r="E105" i="13"/>
  <c r="D105" i="13"/>
  <c r="B105" i="13"/>
  <c r="M104" i="12"/>
  <c r="C103" i="12"/>
  <c r="A106" i="12"/>
  <c r="E105" i="12"/>
  <c r="D105" i="12"/>
  <c r="B105" i="12"/>
  <c r="M105" i="13" l="1"/>
  <c r="C104" i="13"/>
  <c r="A107" i="13"/>
  <c r="E106" i="13"/>
  <c r="D106" i="13"/>
  <c r="B106" i="13"/>
  <c r="M105" i="12"/>
  <c r="C104" i="12"/>
  <c r="A107" i="12"/>
  <c r="E106" i="12"/>
  <c r="D106" i="12"/>
  <c r="B106" i="12"/>
  <c r="M106" i="13" l="1"/>
  <c r="C105" i="13"/>
  <c r="A108" i="13"/>
  <c r="E107" i="13"/>
  <c r="D107" i="13"/>
  <c r="B107" i="13"/>
  <c r="M106" i="12"/>
  <c r="C105" i="12"/>
  <c r="A108" i="12"/>
  <c r="E107" i="12"/>
  <c r="D107" i="12"/>
  <c r="B107" i="12"/>
  <c r="M107" i="13" l="1"/>
  <c r="C106" i="13"/>
  <c r="A109" i="13"/>
  <c r="E108" i="13"/>
  <c r="D108" i="13"/>
  <c r="B108" i="13"/>
  <c r="M107" i="12"/>
  <c r="C106" i="12"/>
  <c r="A109" i="12"/>
  <c r="E108" i="12"/>
  <c r="D108" i="12"/>
  <c r="B108" i="12"/>
  <c r="M108" i="13" l="1"/>
  <c r="C107" i="13"/>
  <c r="A110" i="13"/>
  <c r="E109" i="13"/>
  <c r="D109" i="13"/>
  <c r="B109" i="13"/>
  <c r="M108" i="12"/>
  <c r="C107" i="12"/>
  <c r="A110" i="12"/>
  <c r="E109" i="12"/>
  <c r="D109" i="12"/>
  <c r="B109" i="12"/>
  <c r="M109" i="13" l="1"/>
  <c r="C108" i="13"/>
  <c r="E110" i="13"/>
  <c r="D110" i="13"/>
  <c r="B110" i="13"/>
  <c r="M109" i="12"/>
  <c r="C108" i="12"/>
  <c r="A111" i="12"/>
  <c r="E110" i="12"/>
  <c r="D110" i="12"/>
  <c r="B110" i="12"/>
  <c r="M110" i="13" l="1"/>
  <c r="C109" i="13"/>
  <c r="M110" i="12"/>
  <c r="C109" i="12"/>
  <c r="A112" i="12"/>
  <c r="E111" i="12"/>
  <c r="D111" i="12"/>
  <c r="B111" i="12"/>
  <c r="C110" i="13" l="1"/>
  <c r="M111" i="12"/>
  <c r="C110" i="12"/>
  <c r="A113" i="12"/>
  <c r="E112" i="12"/>
  <c r="D112" i="12"/>
  <c r="B112" i="12"/>
  <c r="M112" i="12" l="1"/>
  <c r="C111" i="12"/>
  <c r="A114" i="12"/>
  <c r="E113" i="12"/>
  <c r="D113" i="12"/>
  <c r="B113" i="12"/>
  <c r="M113" i="12" l="1"/>
  <c r="C112" i="12"/>
  <c r="A115" i="12"/>
  <c r="E114" i="12"/>
  <c r="D114" i="12"/>
  <c r="B114" i="12"/>
  <c r="M114" i="12" l="1"/>
  <c r="C113" i="12"/>
  <c r="A116" i="12"/>
  <c r="E115" i="12"/>
  <c r="D115" i="12"/>
  <c r="B115" i="12"/>
  <c r="M115" i="12" l="1"/>
  <c r="C114" i="12"/>
  <c r="A117" i="12"/>
  <c r="E116" i="12"/>
  <c r="D116" i="12"/>
  <c r="B116" i="12"/>
  <c r="M116" i="12" l="1"/>
  <c r="C115" i="12"/>
  <c r="A118" i="12"/>
  <c r="E117" i="12"/>
  <c r="D117" i="12"/>
  <c r="B117" i="12"/>
  <c r="M117" i="12" l="1"/>
  <c r="C116" i="12"/>
  <c r="A119" i="12"/>
  <c r="E118" i="12"/>
  <c r="D118" i="12"/>
  <c r="B118" i="12"/>
  <c r="M118" i="12" l="1"/>
  <c r="C117" i="12"/>
  <c r="A120" i="12"/>
  <c r="E119" i="12"/>
  <c r="D119" i="12"/>
  <c r="B119" i="12"/>
  <c r="M119" i="12" l="1"/>
  <c r="C118" i="12"/>
  <c r="A121" i="12"/>
  <c r="E120" i="12"/>
  <c r="D120" i="12"/>
  <c r="B120" i="12"/>
  <c r="M120" i="12" l="1"/>
  <c r="C119" i="12"/>
  <c r="A122" i="12"/>
  <c r="E121" i="12"/>
  <c r="D121" i="12"/>
  <c r="B121" i="12"/>
  <c r="M121" i="12" l="1"/>
  <c r="C120" i="12"/>
  <c r="A123" i="12"/>
  <c r="E122" i="12"/>
  <c r="D122" i="12"/>
  <c r="B122" i="12"/>
  <c r="M122" i="12" l="1"/>
  <c r="C121" i="12"/>
  <c r="A124" i="12"/>
  <c r="E123" i="12"/>
  <c r="D123" i="12"/>
  <c r="B123" i="12"/>
  <c r="M123" i="12" l="1"/>
  <c r="C122" i="12"/>
  <c r="A125" i="12"/>
  <c r="E124" i="12"/>
  <c r="D124" i="12"/>
  <c r="B124" i="12"/>
  <c r="M124" i="12" l="1"/>
  <c r="C123" i="12"/>
  <c r="A126" i="12"/>
  <c r="E125" i="12"/>
  <c r="D125" i="12"/>
  <c r="B125" i="12"/>
  <c r="M125" i="12" l="1"/>
  <c r="C124" i="12"/>
  <c r="A127" i="12"/>
  <c r="E126" i="12"/>
  <c r="D126" i="12"/>
  <c r="B126" i="12"/>
  <c r="M126" i="12" l="1"/>
  <c r="C125" i="12"/>
  <c r="A128" i="12"/>
  <c r="E127" i="12"/>
  <c r="D127" i="12"/>
  <c r="B127" i="12"/>
  <c r="M127" i="12" l="1"/>
  <c r="C126" i="12"/>
  <c r="A129" i="12"/>
  <c r="E128" i="12"/>
  <c r="D128" i="12"/>
  <c r="B128" i="12"/>
  <c r="M128" i="12" l="1"/>
  <c r="C127" i="12"/>
  <c r="A130" i="12"/>
  <c r="E129" i="12"/>
  <c r="D129" i="12"/>
  <c r="B129" i="12"/>
  <c r="M129" i="12" l="1"/>
  <c r="C128" i="12"/>
  <c r="A131" i="12"/>
  <c r="E130" i="12"/>
  <c r="D130" i="12"/>
  <c r="B130" i="12"/>
  <c r="M130" i="12" l="1"/>
  <c r="C129" i="12"/>
  <c r="A132" i="12"/>
  <c r="E131" i="12"/>
  <c r="D131" i="12"/>
  <c r="B131" i="12"/>
  <c r="M131" i="12" l="1"/>
  <c r="C130" i="12"/>
  <c r="A133" i="12"/>
  <c r="E132" i="12"/>
  <c r="D132" i="12"/>
  <c r="B132" i="12"/>
  <c r="M132" i="12" l="1"/>
  <c r="C131" i="12"/>
  <c r="A134" i="12"/>
  <c r="E133" i="12"/>
  <c r="D133" i="12"/>
  <c r="B133" i="12"/>
  <c r="M133" i="12" l="1"/>
  <c r="C132" i="12"/>
  <c r="A135" i="12"/>
  <c r="E134" i="12"/>
  <c r="D134" i="12"/>
  <c r="B134" i="12"/>
  <c r="M134" i="12" l="1"/>
  <c r="C133" i="12"/>
  <c r="A136" i="12"/>
  <c r="E135" i="12"/>
  <c r="D135" i="12"/>
  <c r="B135" i="12"/>
  <c r="M135" i="12" l="1"/>
  <c r="C134" i="12"/>
  <c r="A137" i="12"/>
  <c r="E136" i="12"/>
  <c r="D136" i="12"/>
  <c r="B136" i="12"/>
  <c r="M136" i="12" l="1"/>
  <c r="C135" i="12"/>
  <c r="A138" i="12"/>
  <c r="E137" i="12"/>
  <c r="D137" i="12"/>
  <c r="B137" i="12"/>
  <c r="M137" i="12" l="1"/>
  <c r="C136" i="12"/>
  <c r="A139" i="12"/>
  <c r="E138" i="12"/>
  <c r="D138" i="12"/>
  <c r="B138" i="12"/>
  <c r="M138" i="12" l="1"/>
  <c r="C137" i="12"/>
  <c r="A140" i="12"/>
  <c r="E139" i="12"/>
  <c r="D139" i="12"/>
  <c r="B139" i="12"/>
  <c r="M139" i="12" l="1"/>
  <c r="C138" i="12"/>
  <c r="A141" i="12"/>
  <c r="E140" i="12"/>
  <c r="D140" i="12"/>
  <c r="B140" i="12"/>
  <c r="M140" i="12" l="1"/>
  <c r="C139" i="12"/>
  <c r="A142" i="12"/>
  <c r="E141" i="12"/>
  <c r="D141" i="12"/>
  <c r="B141" i="12"/>
  <c r="M141" i="12" l="1"/>
  <c r="C140" i="12"/>
  <c r="A143" i="12"/>
  <c r="E142" i="12"/>
  <c r="D142" i="12"/>
  <c r="B142" i="12"/>
  <c r="M142" i="12" l="1"/>
  <c r="C141" i="12"/>
  <c r="A144" i="12"/>
  <c r="E143" i="12"/>
  <c r="D143" i="12"/>
  <c r="B143" i="12"/>
  <c r="M143" i="12" l="1"/>
  <c r="C142" i="12"/>
  <c r="E144" i="12"/>
  <c r="D144" i="12"/>
  <c r="B144" i="12"/>
  <c r="M144" i="12" l="1"/>
  <c r="C144" i="12"/>
  <c r="C143" i="12"/>
  <c r="D30" i="2" l="1"/>
  <c r="D29" i="2" l="1"/>
  <c r="D28" i="2" l="1"/>
  <c r="D27" i="2" l="1"/>
  <c r="D26" i="2" l="1"/>
  <c r="D25" i="2" l="1"/>
  <c r="D24" i="2" l="1"/>
  <c r="D23" i="2" l="1"/>
  <c r="D22" i="2" l="1"/>
  <c r="D21" i="2" l="1"/>
  <c r="D20" i="2" l="1"/>
  <c r="D19" i="2" l="1"/>
  <c r="D18" i="2" l="1"/>
  <c r="D17" i="2" l="1"/>
  <c r="D16" i="2" l="1"/>
  <c r="D15" i="2" l="1"/>
  <c r="D14" i="2" l="1"/>
  <c r="D13" i="2" l="1"/>
  <c r="D12" i="2" l="1"/>
  <c r="D11" i="2" s="1"/>
  <c r="D10" i="2" s="1"/>
  <c r="D9" i="2" s="1"/>
  <c r="D8" i="2" s="1"/>
  <c r="D7" i="2" s="1"/>
  <c r="D6" i="2" s="1"/>
</calcChain>
</file>

<file path=xl/sharedStrings.xml><?xml version="1.0" encoding="utf-8"?>
<sst xmlns="http://schemas.openxmlformats.org/spreadsheetml/2006/main" count="183" uniqueCount="54">
  <si>
    <t>Parabolic Dish Design Tool</t>
  </si>
  <si>
    <t>rms surface error</t>
  </si>
  <si>
    <t>D (meters)</t>
  </si>
  <si>
    <t>lambda (meters)</t>
  </si>
  <si>
    <t>n</t>
  </si>
  <si>
    <t>Atot</t>
  </si>
  <si>
    <t>avg rms err</t>
  </si>
  <si>
    <t>f/D</t>
  </si>
  <si>
    <t>theta</t>
  </si>
  <si>
    <t>allowable surface error (in)</t>
  </si>
  <si>
    <t>Dowels and Rib Supports</t>
  </si>
  <si>
    <t>x (inches)</t>
  </si>
  <si>
    <t>y (inches)</t>
  </si>
  <si>
    <t>delta L (inches)</t>
  </si>
  <si>
    <t>L (inches)</t>
  </si>
  <si>
    <t>segment width</t>
  </si>
  <si>
    <t>min segments 90% eff</t>
  </si>
  <si>
    <t>x (rib attach pt)</t>
  </si>
  <si>
    <t>Y-top (in)</t>
  </si>
  <si>
    <t>R</t>
  </si>
  <si>
    <t>A</t>
  </si>
  <si>
    <t>Adelta</t>
  </si>
  <si>
    <t>rms err</t>
  </si>
  <si>
    <t>Product</t>
  </si>
  <si>
    <t>surface error (in)</t>
  </si>
  <si>
    <t>x1 (ring radius)</t>
  </si>
  <si>
    <t>% surface error</t>
  </si>
  <si>
    <t>x2 (supp horiz)</t>
  </si>
  <si>
    <t>HPBW (deg)</t>
  </si>
  <si>
    <t>y (rib attach pt)</t>
  </si>
  <si>
    <t>f (meters)</t>
  </si>
  <si>
    <t>y1 (corr pt)</t>
  </si>
  <si>
    <t>f (inches)</t>
  </si>
  <si>
    <t>y2 (supp vert)</t>
  </si>
  <si>
    <t>d (cm)</t>
  </si>
  <si>
    <t>y3 (ring pos)</t>
  </si>
  <si>
    <t>d (in)</t>
  </si>
  <si>
    <t>Rib Supports</t>
  </si>
  <si>
    <t>min dowels</t>
  </si>
  <si>
    <t>a (cm)</t>
  </si>
  <si>
    <t>Dowels</t>
  </si>
  <si>
    <t>a (in)</t>
  </si>
  <si>
    <t>Feed position (in)</t>
  </si>
  <si>
    <t>Focus</t>
  </si>
  <si>
    <t>surface efficiency</t>
  </si>
  <si>
    <t>Feed</t>
  </si>
  <si>
    <t>sides1</t>
  </si>
  <si>
    <t>sides2</t>
  </si>
  <si>
    <t>sides3</t>
  </si>
  <si>
    <t>sides4</t>
  </si>
  <si>
    <t>poles</t>
  </si>
  <si>
    <t>ring</t>
  </si>
  <si>
    <t>supports</t>
  </si>
  <si>
    <t>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</si>
</sst>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3" borderId="0" xfId="0" applyFill="1"/>
    <xf numFmtId="2" fontId="0" fillId="4" borderId="0" xfId="0" applyNumberFormat="1" applyFill="1"/>
    <xf numFmtId="1" fontId="0" fillId="4" borderId="0" xfId="0" applyNumberFormat="1" applyFill="1"/>
    <xf numFmtId="0" fontId="0" fillId="4" borderId="0" xfId="0" applyFill="1"/>
    <xf numFmtId="1" fontId="0" fillId="0" borderId="0" xfId="0" applyNumberFormat="1"/>
    <xf numFmtId="10" fontId="0" fillId="4" borderId="0" xfId="0" applyNumberFormat="1" applyFill="1"/>
    <xf numFmtId="0" fontId="1" fillId="0" borderId="1" xfId="0" applyFont="1" applyBorder="1"/>
    <xf numFmtId="2" fontId="0" fillId="4" borderId="2" xfId="0" applyNumberFormat="1" applyFill="1" applyBorder="1"/>
    <xf numFmtId="10" fontId="0" fillId="0" borderId="0" xfId="0" applyNumberFormat="1"/>
    <xf numFmtId="164" fontId="0" fillId="0" borderId="0" xfId="0" applyNumberFormat="1"/>
    <xf numFmtId="0" fontId="1" fillId="0" borderId="3" xfId="0" applyFont="1" applyBorder="1"/>
    <xf numFmtId="2" fontId="0" fillId="4" borderId="4" xfId="0" applyNumberFormat="1" applyFill="1" applyBorder="1"/>
    <xf numFmtId="0" fontId="1" fillId="0" borderId="0" xfId="0" applyFont="1" applyProtection="1"/>
    <xf numFmtId="0" fontId="0" fillId="0" borderId="0" xfId="0" applyProtection="1"/>
    <xf numFmtId="2" fontId="0" fillId="0" borderId="0" xfId="0" applyNumberFormat="1" applyProtection="1"/>
    <xf numFmtId="0" fontId="1" fillId="0" borderId="1" xfId="0" applyFont="1" applyBorder="1" applyProtection="1"/>
    <xf numFmtId="2" fontId="0" fillId="4" borderId="0" xfId="0" applyNumberFormat="1" applyFill="1" applyProtection="1"/>
    <xf numFmtId="0" fontId="0" fillId="4" borderId="0" xfId="0" applyFill="1" applyProtection="1"/>
    <xf numFmtId="10" fontId="0" fillId="4" borderId="0" xfId="0" applyNumberFormat="1" applyFill="1" applyProtection="1"/>
    <xf numFmtId="0" fontId="0" fillId="3" borderId="0" xfId="0" applyFill="1" applyProtection="1"/>
    <xf numFmtId="10" fontId="0" fillId="0" borderId="0" xfId="0" applyNumberFormat="1" applyProtection="1"/>
    <xf numFmtId="164" fontId="0" fillId="0" borderId="0" xfId="0" applyNumberFormat="1" applyProtection="1"/>
    <xf numFmtId="1" fontId="0" fillId="4" borderId="0" xfId="0" applyNumberFormat="1" applyFill="1" applyProtection="1"/>
    <xf numFmtId="1" fontId="0" fillId="0" borderId="0" xfId="0" applyNumberFormat="1" applyProtection="1"/>
    <xf numFmtId="2" fontId="0" fillId="4" borderId="2" xfId="0" applyNumberFormat="1" applyFill="1" applyBorder="1" applyProtection="1"/>
    <xf numFmtId="0" fontId="1" fillId="0" borderId="3" xfId="0" applyFont="1" applyBorder="1" applyProtection="1"/>
    <xf numFmtId="2" fontId="0" fillId="4" borderId="4" xfId="0" applyNumberFormat="1" applyFill="1" applyBorder="1" applyProtection="1"/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'2.74 m (original)'!$B$5</c:f>
              <c:strCache>
                <c:ptCount val="1"/>
                <c:pt idx="0">
                  <c:v>y (inches)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'2.74 m (original)'!$A$6:$A$144</c:f>
              <c:numCache>
                <c:formatCode>0</c:formatCode>
                <c:ptCount val="139"/>
                <c:pt idx="0">
                  <c:v>54</c:v>
                </c:pt>
                <c:pt idx="1">
                  <c:v>53</c:v>
                </c:pt>
                <c:pt idx="2">
                  <c:v>52</c:v>
                </c:pt>
                <c:pt idx="3">
                  <c:v>51</c:v>
                </c:pt>
                <c:pt idx="4">
                  <c:v>50</c:v>
                </c:pt>
                <c:pt idx="5">
                  <c:v>49</c:v>
                </c:pt>
                <c:pt idx="6">
                  <c:v>48</c:v>
                </c:pt>
                <c:pt idx="7">
                  <c:v>47</c:v>
                </c:pt>
                <c:pt idx="8">
                  <c:v>46</c:v>
                </c:pt>
                <c:pt idx="9">
                  <c:v>45</c:v>
                </c:pt>
                <c:pt idx="10">
                  <c:v>44</c:v>
                </c:pt>
                <c:pt idx="11">
                  <c:v>43</c:v>
                </c:pt>
                <c:pt idx="12">
                  <c:v>42</c:v>
                </c:pt>
                <c:pt idx="13">
                  <c:v>41</c:v>
                </c:pt>
                <c:pt idx="14">
                  <c:v>40</c:v>
                </c:pt>
                <c:pt idx="15">
                  <c:v>39</c:v>
                </c:pt>
                <c:pt idx="16">
                  <c:v>38</c:v>
                </c:pt>
                <c:pt idx="17">
                  <c:v>37</c:v>
                </c:pt>
                <c:pt idx="18">
                  <c:v>36</c:v>
                </c:pt>
                <c:pt idx="19">
                  <c:v>35</c:v>
                </c:pt>
                <c:pt idx="20">
                  <c:v>34</c:v>
                </c:pt>
                <c:pt idx="21">
                  <c:v>33</c:v>
                </c:pt>
                <c:pt idx="22">
                  <c:v>32</c:v>
                </c:pt>
                <c:pt idx="23">
                  <c:v>31</c:v>
                </c:pt>
                <c:pt idx="24">
                  <c:v>30</c:v>
                </c:pt>
                <c:pt idx="25">
                  <c:v>29</c:v>
                </c:pt>
                <c:pt idx="26">
                  <c:v>28</c:v>
                </c:pt>
                <c:pt idx="27">
                  <c:v>27</c:v>
                </c:pt>
                <c:pt idx="28">
                  <c:v>26</c:v>
                </c:pt>
                <c:pt idx="29">
                  <c:v>25</c:v>
                </c:pt>
                <c:pt idx="30">
                  <c:v>24</c:v>
                </c:pt>
                <c:pt idx="31">
                  <c:v>23</c:v>
                </c:pt>
                <c:pt idx="32">
                  <c:v>22</c:v>
                </c:pt>
                <c:pt idx="33">
                  <c:v>21</c:v>
                </c:pt>
                <c:pt idx="34">
                  <c:v>20</c:v>
                </c:pt>
                <c:pt idx="35">
                  <c:v>19</c:v>
                </c:pt>
                <c:pt idx="36">
                  <c:v>18</c:v>
                </c:pt>
                <c:pt idx="37">
                  <c:v>17</c:v>
                </c:pt>
                <c:pt idx="38">
                  <c:v>16</c:v>
                </c:pt>
                <c:pt idx="39">
                  <c:v>15</c:v>
                </c:pt>
                <c:pt idx="40">
                  <c:v>14</c:v>
                </c:pt>
                <c:pt idx="41">
                  <c:v>13</c:v>
                </c:pt>
                <c:pt idx="42">
                  <c:v>12</c:v>
                </c:pt>
                <c:pt idx="43">
                  <c:v>11</c:v>
                </c:pt>
                <c:pt idx="44">
                  <c:v>10</c:v>
                </c:pt>
                <c:pt idx="45">
                  <c:v>9</c:v>
                </c:pt>
                <c:pt idx="46">
                  <c:v>8</c:v>
                </c:pt>
                <c:pt idx="47">
                  <c:v>7</c:v>
                </c:pt>
                <c:pt idx="48">
                  <c:v>6</c:v>
                </c:pt>
                <c:pt idx="49">
                  <c:v>5</c:v>
                </c:pt>
                <c:pt idx="50">
                  <c:v>4</c:v>
                </c:pt>
                <c:pt idx="51">
                  <c:v>3</c:v>
                </c:pt>
                <c:pt idx="52">
                  <c:v>2</c:v>
                </c:pt>
                <c:pt idx="53">
                  <c:v>1</c:v>
                </c:pt>
                <c:pt idx="54">
                  <c:v>0</c:v>
                </c:pt>
                <c:pt idx="55">
                  <c:v>-1</c:v>
                </c:pt>
                <c:pt idx="56">
                  <c:v>-2</c:v>
                </c:pt>
                <c:pt idx="57">
                  <c:v>-3</c:v>
                </c:pt>
                <c:pt idx="58">
                  <c:v>-4</c:v>
                </c:pt>
                <c:pt idx="59">
                  <c:v>-5</c:v>
                </c:pt>
                <c:pt idx="60">
                  <c:v>-6</c:v>
                </c:pt>
                <c:pt idx="61">
                  <c:v>-7</c:v>
                </c:pt>
                <c:pt idx="62">
                  <c:v>-8</c:v>
                </c:pt>
                <c:pt idx="63">
                  <c:v>-9</c:v>
                </c:pt>
                <c:pt idx="64">
                  <c:v>-10</c:v>
                </c:pt>
                <c:pt idx="65">
                  <c:v>-11</c:v>
                </c:pt>
                <c:pt idx="66">
                  <c:v>-12</c:v>
                </c:pt>
                <c:pt idx="67">
                  <c:v>-13</c:v>
                </c:pt>
                <c:pt idx="68">
                  <c:v>-14</c:v>
                </c:pt>
                <c:pt idx="69">
                  <c:v>-15</c:v>
                </c:pt>
                <c:pt idx="70">
                  <c:v>-16</c:v>
                </c:pt>
                <c:pt idx="71">
                  <c:v>-17</c:v>
                </c:pt>
                <c:pt idx="72">
                  <c:v>-18</c:v>
                </c:pt>
                <c:pt idx="73">
                  <c:v>-19</c:v>
                </c:pt>
                <c:pt idx="74">
                  <c:v>-20</c:v>
                </c:pt>
                <c:pt idx="75">
                  <c:v>-21</c:v>
                </c:pt>
                <c:pt idx="76">
                  <c:v>-22</c:v>
                </c:pt>
                <c:pt idx="77">
                  <c:v>-23</c:v>
                </c:pt>
                <c:pt idx="78">
                  <c:v>-24</c:v>
                </c:pt>
                <c:pt idx="79">
                  <c:v>-25</c:v>
                </c:pt>
                <c:pt idx="80">
                  <c:v>-26</c:v>
                </c:pt>
                <c:pt idx="81">
                  <c:v>-27</c:v>
                </c:pt>
                <c:pt idx="82">
                  <c:v>-28</c:v>
                </c:pt>
                <c:pt idx="83">
                  <c:v>-29</c:v>
                </c:pt>
                <c:pt idx="84">
                  <c:v>-30</c:v>
                </c:pt>
                <c:pt idx="85">
                  <c:v>-31</c:v>
                </c:pt>
                <c:pt idx="86">
                  <c:v>-32</c:v>
                </c:pt>
                <c:pt idx="87">
                  <c:v>-33</c:v>
                </c:pt>
                <c:pt idx="88">
                  <c:v>-34</c:v>
                </c:pt>
                <c:pt idx="89">
                  <c:v>-35</c:v>
                </c:pt>
                <c:pt idx="90">
                  <c:v>-36</c:v>
                </c:pt>
                <c:pt idx="91">
                  <c:v>-37</c:v>
                </c:pt>
                <c:pt idx="92">
                  <c:v>-38</c:v>
                </c:pt>
                <c:pt idx="93">
                  <c:v>-39</c:v>
                </c:pt>
                <c:pt idx="94">
                  <c:v>-40</c:v>
                </c:pt>
                <c:pt idx="95">
                  <c:v>-41</c:v>
                </c:pt>
                <c:pt idx="96">
                  <c:v>-42</c:v>
                </c:pt>
                <c:pt idx="97">
                  <c:v>-43</c:v>
                </c:pt>
                <c:pt idx="98">
                  <c:v>-44</c:v>
                </c:pt>
                <c:pt idx="99">
                  <c:v>-45</c:v>
                </c:pt>
                <c:pt idx="100">
                  <c:v>-46</c:v>
                </c:pt>
                <c:pt idx="101">
                  <c:v>-47</c:v>
                </c:pt>
                <c:pt idx="102">
                  <c:v>-48</c:v>
                </c:pt>
                <c:pt idx="103">
                  <c:v>-49</c:v>
                </c:pt>
                <c:pt idx="104">
                  <c:v>-50</c:v>
                </c:pt>
              </c:numCache>
            </c:numRef>
          </c:xVal>
          <c:yVal>
            <c:numRef>
              <c:f>'2.74 m (original)'!$B$6:$B$144</c:f>
              <c:numCache>
                <c:formatCode>0.00</c:formatCode>
                <c:ptCount val="139"/>
                <c:pt idx="0">
                  <c:v>21.799623263480104</c:v>
                </c:pt>
                <c:pt idx="1">
                  <c:v>20.99970567459383</c:v>
                </c:pt>
                <c:pt idx="2">
                  <c:v>20.214739816340948</c:v>
                </c:pt>
                <c:pt idx="3">
                  <c:v>19.444725688721451</c:v>
                </c:pt>
                <c:pt idx="4">
                  <c:v>18.689663291735343</c:v>
                </c:pt>
                <c:pt idx="5">
                  <c:v>17.949552625382623</c:v>
                </c:pt>
                <c:pt idx="6">
                  <c:v>17.224393689663291</c:v>
                </c:pt>
                <c:pt idx="7">
                  <c:v>16.514186484577348</c:v>
                </c:pt>
                <c:pt idx="8">
                  <c:v>15.818931010124794</c:v>
                </c:pt>
                <c:pt idx="9">
                  <c:v>15.138627266305628</c:v>
                </c:pt>
                <c:pt idx="10">
                  <c:v>14.47327525311985</c:v>
                </c:pt>
                <c:pt idx="11">
                  <c:v>13.82287497056746</c:v>
                </c:pt>
                <c:pt idx="12">
                  <c:v>13.187426418648458</c:v>
                </c:pt>
                <c:pt idx="13">
                  <c:v>12.566929597362845</c:v>
                </c:pt>
                <c:pt idx="14">
                  <c:v>11.961384506710619</c:v>
                </c:pt>
                <c:pt idx="15">
                  <c:v>11.370791146691783</c:v>
                </c:pt>
                <c:pt idx="16">
                  <c:v>10.795149517306335</c:v>
                </c:pt>
                <c:pt idx="17">
                  <c:v>10.234459618554274</c:v>
                </c:pt>
                <c:pt idx="18">
                  <c:v>9.688721450435601</c:v>
                </c:pt>
                <c:pt idx="19">
                  <c:v>9.1579350129503183</c:v>
                </c:pt>
                <c:pt idx="20">
                  <c:v>8.6421003060984223</c:v>
                </c:pt>
                <c:pt idx="21">
                  <c:v>8.1412173298799146</c:v>
                </c:pt>
                <c:pt idx="22">
                  <c:v>7.6552860842947963</c:v>
                </c:pt>
                <c:pt idx="23">
                  <c:v>7.1843065693430654</c:v>
                </c:pt>
                <c:pt idx="24">
                  <c:v>6.7282787850247239</c:v>
                </c:pt>
                <c:pt idx="25">
                  <c:v>6.2872027313397698</c:v>
                </c:pt>
                <c:pt idx="26">
                  <c:v>5.8610784082882033</c:v>
                </c:pt>
                <c:pt idx="27">
                  <c:v>5.449905815870026</c:v>
                </c:pt>
                <c:pt idx="28">
                  <c:v>5.0536849540852371</c:v>
                </c:pt>
                <c:pt idx="29">
                  <c:v>4.6724158229338357</c:v>
                </c:pt>
                <c:pt idx="30">
                  <c:v>4.3060984224158227</c:v>
                </c:pt>
                <c:pt idx="31">
                  <c:v>3.9547327525311986</c:v>
                </c:pt>
                <c:pt idx="32">
                  <c:v>3.6183188132799624</c:v>
                </c:pt>
                <c:pt idx="33">
                  <c:v>3.2968566046621146</c:v>
                </c:pt>
                <c:pt idx="34">
                  <c:v>2.9903461266776548</c:v>
                </c:pt>
                <c:pt idx="35">
                  <c:v>2.6987873793265837</c:v>
                </c:pt>
                <c:pt idx="36">
                  <c:v>2.4221803626089002</c:v>
                </c:pt>
                <c:pt idx="37">
                  <c:v>2.1605250765246056</c:v>
                </c:pt>
                <c:pt idx="38">
                  <c:v>1.9138215210736991</c:v>
                </c:pt>
                <c:pt idx="39">
                  <c:v>1.682069696256181</c:v>
                </c:pt>
                <c:pt idx="40">
                  <c:v>1.4652696020720508</c:v>
                </c:pt>
                <c:pt idx="41">
                  <c:v>1.2634212385213093</c:v>
                </c:pt>
                <c:pt idx="42">
                  <c:v>1.0765246056039557</c:v>
                </c:pt>
                <c:pt idx="43">
                  <c:v>0.9045797033199906</c:v>
                </c:pt>
                <c:pt idx="44">
                  <c:v>0.74758653166941369</c:v>
                </c:pt>
                <c:pt idx="45">
                  <c:v>0.60554509065222506</c:v>
                </c:pt>
                <c:pt idx="46">
                  <c:v>0.47845538026842477</c:v>
                </c:pt>
                <c:pt idx="47">
                  <c:v>0.3663174005180127</c:v>
                </c:pt>
                <c:pt idx="48">
                  <c:v>0.26913115140098892</c:v>
                </c:pt>
                <c:pt idx="49">
                  <c:v>0.18689663291735342</c:v>
                </c:pt>
                <c:pt idx="50">
                  <c:v>0.11961384506710619</c:v>
                </c:pt>
                <c:pt idx="51">
                  <c:v>6.728278785024723E-2</c:v>
                </c:pt>
                <c:pt idx="52">
                  <c:v>2.9903461266776548E-2</c:v>
                </c:pt>
                <c:pt idx="53">
                  <c:v>7.475865316694137E-3</c:v>
                </c:pt>
                <c:pt idx="54">
                  <c:v>0</c:v>
                </c:pt>
                <c:pt idx="55">
                  <c:v>7.475865316694137E-3</c:v>
                </c:pt>
                <c:pt idx="56">
                  <c:v>2.9903461266776548E-2</c:v>
                </c:pt>
                <c:pt idx="57">
                  <c:v>6.728278785024723E-2</c:v>
                </c:pt>
                <c:pt idx="58">
                  <c:v>0.11961384506710619</c:v>
                </c:pt>
                <c:pt idx="59">
                  <c:v>0.18689663291735342</c:v>
                </c:pt>
                <c:pt idx="60">
                  <c:v>0.26913115140098892</c:v>
                </c:pt>
                <c:pt idx="61">
                  <c:v>0.3663174005180127</c:v>
                </c:pt>
                <c:pt idx="62">
                  <c:v>0.47845538026842477</c:v>
                </c:pt>
                <c:pt idx="63">
                  <c:v>0.60554509065222506</c:v>
                </c:pt>
                <c:pt idx="64">
                  <c:v>0.74758653166941369</c:v>
                </c:pt>
                <c:pt idx="65">
                  <c:v>0.9045797033199906</c:v>
                </c:pt>
                <c:pt idx="66">
                  <c:v>1.0765246056039557</c:v>
                </c:pt>
                <c:pt idx="67">
                  <c:v>1.2634212385213093</c:v>
                </c:pt>
                <c:pt idx="68">
                  <c:v>1.4652696020720508</c:v>
                </c:pt>
                <c:pt idx="69">
                  <c:v>1.682069696256181</c:v>
                </c:pt>
                <c:pt idx="70">
                  <c:v>1.9138215210736991</c:v>
                </c:pt>
                <c:pt idx="71">
                  <c:v>2.1605250765246056</c:v>
                </c:pt>
                <c:pt idx="72">
                  <c:v>2.4221803626089002</c:v>
                </c:pt>
                <c:pt idx="73">
                  <c:v>2.6987873793265837</c:v>
                </c:pt>
                <c:pt idx="74">
                  <c:v>2.9903461266776548</c:v>
                </c:pt>
                <c:pt idx="75">
                  <c:v>3.2968566046621146</c:v>
                </c:pt>
                <c:pt idx="76">
                  <c:v>3.6183188132799624</c:v>
                </c:pt>
                <c:pt idx="77">
                  <c:v>3.9547327525311986</c:v>
                </c:pt>
                <c:pt idx="78">
                  <c:v>4.3060984224158227</c:v>
                </c:pt>
                <c:pt idx="79">
                  <c:v>4.6724158229338357</c:v>
                </c:pt>
                <c:pt idx="80">
                  <c:v>5.0536849540852371</c:v>
                </c:pt>
                <c:pt idx="81">
                  <c:v>5.449905815870026</c:v>
                </c:pt>
                <c:pt idx="82">
                  <c:v>5.8610784082882033</c:v>
                </c:pt>
                <c:pt idx="83">
                  <c:v>6.2872027313397698</c:v>
                </c:pt>
                <c:pt idx="84">
                  <c:v>6.7282787850247239</c:v>
                </c:pt>
                <c:pt idx="85">
                  <c:v>7.1843065693430654</c:v>
                </c:pt>
                <c:pt idx="86">
                  <c:v>7.6552860842947963</c:v>
                </c:pt>
                <c:pt idx="87">
                  <c:v>8.1412173298799146</c:v>
                </c:pt>
                <c:pt idx="88">
                  <c:v>8.6421003060984223</c:v>
                </c:pt>
                <c:pt idx="89">
                  <c:v>9.1579350129503183</c:v>
                </c:pt>
                <c:pt idx="90">
                  <c:v>9.688721450435601</c:v>
                </c:pt>
                <c:pt idx="91">
                  <c:v>10.234459618554274</c:v>
                </c:pt>
                <c:pt idx="92">
                  <c:v>10.795149517306335</c:v>
                </c:pt>
                <c:pt idx="93">
                  <c:v>11.370791146691783</c:v>
                </c:pt>
                <c:pt idx="94">
                  <c:v>11.961384506710619</c:v>
                </c:pt>
                <c:pt idx="95">
                  <c:v>12.566929597362845</c:v>
                </c:pt>
                <c:pt idx="96">
                  <c:v>13.187426418648458</c:v>
                </c:pt>
                <c:pt idx="97">
                  <c:v>13.82287497056746</c:v>
                </c:pt>
                <c:pt idx="98">
                  <c:v>14.47327525311985</c:v>
                </c:pt>
                <c:pt idx="99">
                  <c:v>15.138627266305628</c:v>
                </c:pt>
                <c:pt idx="100">
                  <c:v>15.818931010124794</c:v>
                </c:pt>
                <c:pt idx="101">
                  <c:v>16.514186484577348</c:v>
                </c:pt>
                <c:pt idx="102">
                  <c:v>17.224393689663291</c:v>
                </c:pt>
                <c:pt idx="103">
                  <c:v>17.949552625382623</c:v>
                </c:pt>
                <c:pt idx="104">
                  <c:v>18.689663291735343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688-44FD-884B-2EF976566C62}"/>
            </c:ext>
          </c:extLst>
        </c:ser>
        <c:ser>
          <c:idx val="2"/>
          <c:order val="1"/>
          <c:tx>
            <c:strRef>
              <c:f>'2.74 m (original)'!$M$5</c:f>
              <c:strCache>
                <c:ptCount val="1"/>
                <c:pt idx="0">
                  <c:v>Y-top (in)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'2.74 m (original)'!$A$6:$A$144</c:f>
              <c:numCache>
                <c:formatCode>0</c:formatCode>
                <c:ptCount val="139"/>
                <c:pt idx="0">
                  <c:v>54</c:v>
                </c:pt>
                <c:pt idx="1">
                  <c:v>53</c:v>
                </c:pt>
                <c:pt idx="2">
                  <c:v>52</c:v>
                </c:pt>
                <c:pt idx="3">
                  <c:v>51</c:v>
                </c:pt>
                <c:pt idx="4">
                  <c:v>50</c:v>
                </c:pt>
                <c:pt idx="5">
                  <c:v>49</c:v>
                </c:pt>
                <c:pt idx="6">
                  <c:v>48</c:v>
                </c:pt>
                <c:pt idx="7">
                  <c:v>47</c:v>
                </c:pt>
                <c:pt idx="8">
                  <c:v>46</c:v>
                </c:pt>
                <c:pt idx="9">
                  <c:v>45</c:v>
                </c:pt>
                <c:pt idx="10">
                  <c:v>44</c:v>
                </c:pt>
                <c:pt idx="11">
                  <c:v>43</c:v>
                </c:pt>
                <c:pt idx="12">
                  <c:v>42</c:v>
                </c:pt>
                <c:pt idx="13">
                  <c:v>41</c:v>
                </c:pt>
                <c:pt idx="14">
                  <c:v>40</c:v>
                </c:pt>
                <c:pt idx="15">
                  <c:v>39</c:v>
                </c:pt>
                <c:pt idx="16">
                  <c:v>38</c:v>
                </c:pt>
                <c:pt idx="17">
                  <c:v>37</c:v>
                </c:pt>
                <c:pt idx="18">
                  <c:v>36</c:v>
                </c:pt>
                <c:pt idx="19">
                  <c:v>35</c:v>
                </c:pt>
                <c:pt idx="20">
                  <c:v>34</c:v>
                </c:pt>
                <c:pt idx="21">
                  <c:v>33</c:v>
                </c:pt>
                <c:pt idx="22">
                  <c:v>32</c:v>
                </c:pt>
                <c:pt idx="23">
                  <c:v>31</c:v>
                </c:pt>
                <c:pt idx="24">
                  <c:v>30</c:v>
                </c:pt>
                <c:pt idx="25">
                  <c:v>29</c:v>
                </c:pt>
                <c:pt idx="26">
                  <c:v>28</c:v>
                </c:pt>
                <c:pt idx="27">
                  <c:v>27</c:v>
                </c:pt>
                <c:pt idx="28">
                  <c:v>26</c:v>
                </c:pt>
                <c:pt idx="29">
                  <c:v>25</c:v>
                </c:pt>
                <c:pt idx="30">
                  <c:v>24</c:v>
                </c:pt>
                <c:pt idx="31">
                  <c:v>23</c:v>
                </c:pt>
                <c:pt idx="32">
                  <c:v>22</c:v>
                </c:pt>
                <c:pt idx="33">
                  <c:v>21</c:v>
                </c:pt>
                <c:pt idx="34">
                  <c:v>20</c:v>
                </c:pt>
                <c:pt idx="35">
                  <c:v>19</c:v>
                </c:pt>
                <c:pt idx="36">
                  <c:v>18</c:v>
                </c:pt>
                <c:pt idx="37">
                  <c:v>17</c:v>
                </c:pt>
                <c:pt idx="38">
                  <c:v>16</c:v>
                </c:pt>
                <c:pt idx="39">
                  <c:v>15</c:v>
                </c:pt>
                <c:pt idx="40">
                  <c:v>14</c:v>
                </c:pt>
                <c:pt idx="41">
                  <c:v>13</c:v>
                </c:pt>
                <c:pt idx="42">
                  <c:v>12</c:v>
                </c:pt>
                <c:pt idx="43">
                  <c:v>11</c:v>
                </c:pt>
                <c:pt idx="44">
                  <c:v>10</c:v>
                </c:pt>
                <c:pt idx="45">
                  <c:v>9</c:v>
                </c:pt>
                <c:pt idx="46">
                  <c:v>8</c:v>
                </c:pt>
                <c:pt idx="47">
                  <c:v>7</c:v>
                </c:pt>
                <c:pt idx="48">
                  <c:v>6</c:v>
                </c:pt>
                <c:pt idx="49">
                  <c:v>5</c:v>
                </c:pt>
                <c:pt idx="50">
                  <c:v>4</c:v>
                </c:pt>
                <c:pt idx="51">
                  <c:v>3</c:v>
                </c:pt>
                <c:pt idx="52">
                  <c:v>2</c:v>
                </c:pt>
                <c:pt idx="53">
                  <c:v>1</c:v>
                </c:pt>
                <c:pt idx="54">
                  <c:v>0</c:v>
                </c:pt>
                <c:pt idx="55">
                  <c:v>-1</c:v>
                </c:pt>
                <c:pt idx="56">
                  <c:v>-2</c:v>
                </c:pt>
                <c:pt idx="57">
                  <c:v>-3</c:v>
                </c:pt>
                <c:pt idx="58">
                  <c:v>-4</c:v>
                </c:pt>
                <c:pt idx="59">
                  <c:v>-5</c:v>
                </c:pt>
                <c:pt idx="60">
                  <c:v>-6</c:v>
                </c:pt>
                <c:pt idx="61">
                  <c:v>-7</c:v>
                </c:pt>
                <c:pt idx="62">
                  <c:v>-8</c:v>
                </c:pt>
                <c:pt idx="63">
                  <c:v>-9</c:v>
                </c:pt>
                <c:pt idx="64">
                  <c:v>-10</c:v>
                </c:pt>
                <c:pt idx="65">
                  <c:v>-11</c:v>
                </c:pt>
                <c:pt idx="66">
                  <c:v>-12</c:v>
                </c:pt>
                <c:pt idx="67">
                  <c:v>-13</c:v>
                </c:pt>
                <c:pt idx="68">
                  <c:v>-14</c:v>
                </c:pt>
                <c:pt idx="69">
                  <c:v>-15</c:v>
                </c:pt>
                <c:pt idx="70">
                  <c:v>-16</c:v>
                </c:pt>
                <c:pt idx="71">
                  <c:v>-17</c:v>
                </c:pt>
                <c:pt idx="72">
                  <c:v>-18</c:v>
                </c:pt>
                <c:pt idx="73">
                  <c:v>-19</c:v>
                </c:pt>
                <c:pt idx="74">
                  <c:v>-20</c:v>
                </c:pt>
                <c:pt idx="75">
                  <c:v>-21</c:v>
                </c:pt>
                <c:pt idx="76">
                  <c:v>-22</c:v>
                </c:pt>
                <c:pt idx="77">
                  <c:v>-23</c:v>
                </c:pt>
                <c:pt idx="78">
                  <c:v>-24</c:v>
                </c:pt>
                <c:pt idx="79">
                  <c:v>-25</c:v>
                </c:pt>
                <c:pt idx="80">
                  <c:v>-26</c:v>
                </c:pt>
                <c:pt idx="81">
                  <c:v>-27</c:v>
                </c:pt>
                <c:pt idx="82">
                  <c:v>-28</c:v>
                </c:pt>
                <c:pt idx="83">
                  <c:v>-29</c:v>
                </c:pt>
                <c:pt idx="84">
                  <c:v>-30</c:v>
                </c:pt>
                <c:pt idx="85">
                  <c:v>-31</c:v>
                </c:pt>
                <c:pt idx="86">
                  <c:v>-32</c:v>
                </c:pt>
                <c:pt idx="87">
                  <c:v>-33</c:v>
                </c:pt>
                <c:pt idx="88">
                  <c:v>-34</c:v>
                </c:pt>
                <c:pt idx="89">
                  <c:v>-35</c:v>
                </c:pt>
                <c:pt idx="90">
                  <c:v>-36</c:v>
                </c:pt>
                <c:pt idx="91">
                  <c:v>-37</c:v>
                </c:pt>
                <c:pt idx="92">
                  <c:v>-38</c:v>
                </c:pt>
                <c:pt idx="93">
                  <c:v>-39</c:v>
                </c:pt>
                <c:pt idx="94">
                  <c:v>-40</c:v>
                </c:pt>
                <c:pt idx="95">
                  <c:v>-41</c:v>
                </c:pt>
                <c:pt idx="96">
                  <c:v>-42</c:v>
                </c:pt>
                <c:pt idx="97">
                  <c:v>-43</c:v>
                </c:pt>
                <c:pt idx="98">
                  <c:v>-44</c:v>
                </c:pt>
                <c:pt idx="99">
                  <c:v>-45</c:v>
                </c:pt>
                <c:pt idx="100">
                  <c:v>-46</c:v>
                </c:pt>
                <c:pt idx="101">
                  <c:v>-47</c:v>
                </c:pt>
                <c:pt idx="102">
                  <c:v>-48</c:v>
                </c:pt>
                <c:pt idx="103">
                  <c:v>-49</c:v>
                </c:pt>
                <c:pt idx="104">
                  <c:v>-50</c:v>
                </c:pt>
              </c:numCache>
            </c:numRef>
          </c:xVal>
          <c:yVal>
            <c:numRef>
              <c:f>'2.74 m (original)'!$M$6:$M$144</c:f>
              <c:numCache>
                <c:formatCode>0.00</c:formatCode>
                <c:ptCount val="139"/>
                <c:pt idx="0">
                  <c:v>23.299623263480104</c:v>
                </c:pt>
                <c:pt idx="1">
                  <c:v>22.49970567459383</c:v>
                </c:pt>
                <c:pt idx="2">
                  <c:v>21.714739816340948</c:v>
                </c:pt>
                <c:pt idx="3">
                  <c:v>20.944725688721451</c:v>
                </c:pt>
                <c:pt idx="4">
                  <c:v>20.189663291735343</c:v>
                </c:pt>
                <c:pt idx="5">
                  <c:v>19.449552625382623</c:v>
                </c:pt>
                <c:pt idx="6">
                  <c:v>18.724393689663291</c:v>
                </c:pt>
                <c:pt idx="7">
                  <c:v>18.014186484577348</c:v>
                </c:pt>
                <c:pt idx="8">
                  <c:v>17.318931010124793</c:v>
                </c:pt>
                <c:pt idx="9">
                  <c:v>16.638627266305626</c:v>
                </c:pt>
                <c:pt idx="10">
                  <c:v>15.97327525311985</c:v>
                </c:pt>
                <c:pt idx="11">
                  <c:v>15.32287497056746</c:v>
                </c:pt>
                <c:pt idx="12">
                  <c:v>14.687426418648458</c:v>
                </c:pt>
                <c:pt idx="13">
                  <c:v>14.066929597362845</c:v>
                </c:pt>
                <c:pt idx="14">
                  <c:v>13.461384506710619</c:v>
                </c:pt>
                <c:pt idx="15">
                  <c:v>12.870791146691783</c:v>
                </c:pt>
                <c:pt idx="16">
                  <c:v>12.295149517306335</c:v>
                </c:pt>
                <c:pt idx="17">
                  <c:v>11.734459618554274</c:v>
                </c:pt>
                <c:pt idx="18">
                  <c:v>11.188721450435601</c:v>
                </c:pt>
                <c:pt idx="19">
                  <c:v>10.657935012950318</c:v>
                </c:pt>
                <c:pt idx="20">
                  <c:v>10.142100306098422</c:v>
                </c:pt>
                <c:pt idx="21">
                  <c:v>9.6412173298799146</c:v>
                </c:pt>
                <c:pt idx="22">
                  <c:v>9.1552860842947972</c:v>
                </c:pt>
                <c:pt idx="23">
                  <c:v>8.6843065693430646</c:v>
                </c:pt>
                <c:pt idx="24">
                  <c:v>8.2282787850247239</c:v>
                </c:pt>
                <c:pt idx="25">
                  <c:v>7.7872027313397698</c:v>
                </c:pt>
                <c:pt idx="26">
                  <c:v>7.3610784082882033</c:v>
                </c:pt>
                <c:pt idx="27">
                  <c:v>6.949905815870026</c:v>
                </c:pt>
                <c:pt idx="28">
                  <c:v>6.5536849540852371</c:v>
                </c:pt>
                <c:pt idx="29">
                  <c:v>6.1724158229338357</c:v>
                </c:pt>
                <c:pt idx="30">
                  <c:v>5.8060984224158227</c:v>
                </c:pt>
                <c:pt idx="31">
                  <c:v>5.4547327525311982</c:v>
                </c:pt>
                <c:pt idx="32">
                  <c:v>5.1183188132799629</c:v>
                </c:pt>
                <c:pt idx="33">
                  <c:v>4.7968566046621142</c:v>
                </c:pt>
                <c:pt idx="34">
                  <c:v>4.4903461266776548</c:v>
                </c:pt>
                <c:pt idx="35">
                  <c:v>4.1987873793265837</c:v>
                </c:pt>
                <c:pt idx="36">
                  <c:v>3.9221803626089002</c:v>
                </c:pt>
                <c:pt idx="37">
                  <c:v>3.6605250765246056</c:v>
                </c:pt>
                <c:pt idx="38">
                  <c:v>3.4138215210736993</c:v>
                </c:pt>
                <c:pt idx="39">
                  <c:v>3.182069696256181</c:v>
                </c:pt>
                <c:pt idx="40">
                  <c:v>2.965269602072051</c:v>
                </c:pt>
                <c:pt idx="41">
                  <c:v>2.7634212385213095</c:v>
                </c:pt>
                <c:pt idx="42">
                  <c:v>2.5765246056039555</c:v>
                </c:pt>
                <c:pt idx="43">
                  <c:v>2.4045797033199907</c:v>
                </c:pt>
                <c:pt idx="44">
                  <c:v>2.2475865316694135</c:v>
                </c:pt>
                <c:pt idx="45">
                  <c:v>2.1055450906522251</c:v>
                </c:pt>
                <c:pt idx="46">
                  <c:v>1.9784553802684248</c:v>
                </c:pt>
                <c:pt idx="47">
                  <c:v>1.8663174005180128</c:v>
                </c:pt>
                <c:pt idx="48">
                  <c:v>1.7691311514009889</c:v>
                </c:pt>
                <c:pt idx="49">
                  <c:v>1.6868966329173534</c:v>
                </c:pt>
                <c:pt idx="50">
                  <c:v>1.6196138450671063</c:v>
                </c:pt>
                <c:pt idx="51">
                  <c:v>1.5672827878502473</c:v>
                </c:pt>
                <c:pt idx="52">
                  <c:v>1.5299034612667766</c:v>
                </c:pt>
                <c:pt idx="53">
                  <c:v>1.5074758653166942</c:v>
                </c:pt>
                <c:pt idx="54">
                  <c:v>1.5</c:v>
                </c:pt>
                <c:pt idx="55">
                  <c:v>1.5074758653166942</c:v>
                </c:pt>
                <c:pt idx="56">
                  <c:v>1.5299034612667766</c:v>
                </c:pt>
                <c:pt idx="57">
                  <c:v>1.5672827878502473</c:v>
                </c:pt>
                <c:pt idx="58">
                  <c:v>1.6196138450671063</c:v>
                </c:pt>
                <c:pt idx="59">
                  <c:v>1.6868966329173534</c:v>
                </c:pt>
                <c:pt idx="60">
                  <c:v>1.7691311514009889</c:v>
                </c:pt>
                <c:pt idx="61">
                  <c:v>1.8663174005180128</c:v>
                </c:pt>
                <c:pt idx="62">
                  <c:v>1.9784553802684248</c:v>
                </c:pt>
                <c:pt idx="63">
                  <c:v>2.1055450906522251</c:v>
                </c:pt>
                <c:pt idx="64">
                  <c:v>2.2475865316694135</c:v>
                </c:pt>
                <c:pt idx="65">
                  <c:v>2.4045797033199907</c:v>
                </c:pt>
                <c:pt idx="66">
                  <c:v>2.5765246056039555</c:v>
                </c:pt>
                <c:pt idx="67">
                  <c:v>2.7634212385213095</c:v>
                </c:pt>
                <c:pt idx="68">
                  <c:v>2.965269602072051</c:v>
                </c:pt>
                <c:pt idx="69">
                  <c:v>3.182069696256181</c:v>
                </c:pt>
                <c:pt idx="70">
                  <c:v>3.4138215210736993</c:v>
                </c:pt>
                <c:pt idx="71">
                  <c:v>3.6605250765246056</c:v>
                </c:pt>
                <c:pt idx="72">
                  <c:v>3.9221803626089002</c:v>
                </c:pt>
                <c:pt idx="73">
                  <c:v>4.1987873793265837</c:v>
                </c:pt>
                <c:pt idx="74">
                  <c:v>4.4903461266776548</c:v>
                </c:pt>
                <c:pt idx="75">
                  <c:v>4.7968566046621142</c:v>
                </c:pt>
                <c:pt idx="76">
                  <c:v>5.1183188132799629</c:v>
                </c:pt>
                <c:pt idx="77">
                  <c:v>5.4547327525311982</c:v>
                </c:pt>
                <c:pt idx="78">
                  <c:v>5.8060984224158227</c:v>
                </c:pt>
                <c:pt idx="79">
                  <c:v>6.1724158229338357</c:v>
                </c:pt>
                <c:pt idx="80">
                  <c:v>6.5536849540852371</c:v>
                </c:pt>
                <c:pt idx="81">
                  <c:v>6.949905815870026</c:v>
                </c:pt>
                <c:pt idx="82">
                  <c:v>7.3610784082882033</c:v>
                </c:pt>
                <c:pt idx="83">
                  <c:v>7.7872027313397698</c:v>
                </c:pt>
                <c:pt idx="84">
                  <c:v>8.2282787850247239</c:v>
                </c:pt>
                <c:pt idx="85">
                  <c:v>8.6843065693430646</c:v>
                </c:pt>
                <c:pt idx="86">
                  <c:v>9.1552860842947972</c:v>
                </c:pt>
                <c:pt idx="87">
                  <c:v>9.6412173298799146</c:v>
                </c:pt>
                <c:pt idx="88">
                  <c:v>10.142100306098422</c:v>
                </c:pt>
                <c:pt idx="89">
                  <c:v>10.657935012950318</c:v>
                </c:pt>
                <c:pt idx="90">
                  <c:v>11.188721450435601</c:v>
                </c:pt>
                <c:pt idx="91">
                  <c:v>11.734459618554274</c:v>
                </c:pt>
                <c:pt idx="92">
                  <c:v>12.295149517306335</c:v>
                </c:pt>
                <c:pt idx="93">
                  <c:v>12.870791146691783</c:v>
                </c:pt>
                <c:pt idx="94">
                  <c:v>13.461384506710619</c:v>
                </c:pt>
                <c:pt idx="95">
                  <c:v>14.066929597362845</c:v>
                </c:pt>
                <c:pt idx="96">
                  <c:v>14.687426418648458</c:v>
                </c:pt>
                <c:pt idx="97">
                  <c:v>15.32287497056746</c:v>
                </c:pt>
                <c:pt idx="98">
                  <c:v>15.97327525311985</c:v>
                </c:pt>
                <c:pt idx="99">
                  <c:v>16.638627266305626</c:v>
                </c:pt>
                <c:pt idx="100">
                  <c:v>17.318931010124793</c:v>
                </c:pt>
                <c:pt idx="101">
                  <c:v>18.014186484577348</c:v>
                </c:pt>
                <c:pt idx="102">
                  <c:v>18.724393689663291</c:v>
                </c:pt>
                <c:pt idx="103">
                  <c:v>19.449552625382623</c:v>
                </c:pt>
                <c:pt idx="104">
                  <c:v>20.189663291735343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688-44FD-884B-2EF976566C62}"/>
            </c:ext>
          </c:extLst>
        </c:ser>
        <c:ser>
          <c:idx val="5"/>
          <c:order val="5"/>
          <c:tx>
            <c:v>feed top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88-44FD-884B-2EF976566C62}"/>
              </c:ext>
            </c:extLst>
          </c:dPt>
          <c:xVal>
            <c:numRef>
              <c:f>'2.74 m (original)'!$K$20:$K$21</c:f>
              <c:numCache>
                <c:formatCode>General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xVal>
          <c:yVal>
            <c:numRef>
              <c:f>'2.74 m (original)'!$L$20:$L$21</c:f>
              <c:numCache>
                <c:formatCode>0.00</c:formatCode>
                <c:ptCount val="2"/>
                <c:pt idx="0">
                  <c:v>36.283666751333499</c:v>
                </c:pt>
                <c:pt idx="1">
                  <c:v>36.283666751333499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688-44FD-884B-2EF976566C62}"/>
            </c:ext>
          </c:extLst>
        </c:ser>
        <c:ser>
          <c:idx val="6"/>
          <c:order val="6"/>
          <c:tx>
            <c:v>feed bottom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'2.74 m (original)'!$K$18:$K$19</c:f>
              <c:numCache>
                <c:formatCode>General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xVal>
          <c:yVal>
            <c:numRef>
              <c:f>'2.74 m (original)'!$L$18:$L$19</c:f>
              <c:numCache>
                <c:formatCode>0.00</c:formatCode>
                <c:ptCount val="2"/>
                <c:pt idx="0">
                  <c:v>34.783666751333499</c:v>
                </c:pt>
                <c:pt idx="1">
                  <c:v>34.783666751333499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688-44FD-884B-2EF976566C62}"/>
            </c:ext>
          </c:extLst>
        </c:ser>
        <c:ser>
          <c:idx val="7"/>
          <c:order val="7"/>
          <c:tx>
            <c:v>feedR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'2.74 m (original)'!$K$24:$K$25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'2.74 m (original)'!$L$24:$L$25</c:f>
              <c:numCache>
                <c:formatCode>0.00</c:formatCode>
                <c:ptCount val="2"/>
                <c:pt idx="0">
                  <c:v>34.783666751333499</c:v>
                </c:pt>
                <c:pt idx="1">
                  <c:v>36.283666751333499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688-44FD-884B-2EF976566C62}"/>
            </c:ext>
          </c:extLst>
        </c:ser>
        <c:ser>
          <c:idx val="8"/>
          <c:order val="8"/>
          <c:tx>
            <c:v>feedL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'2.74 m (original)'!$K$22:$K$23</c:f>
              <c:numCache>
                <c:formatCode>General</c:formatCode>
                <c:ptCount val="2"/>
                <c:pt idx="0">
                  <c:v>-3</c:v>
                </c:pt>
                <c:pt idx="1">
                  <c:v>-3</c:v>
                </c:pt>
              </c:numCache>
            </c:numRef>
          </c:xVal>
          <c:yVal>
            <c:numRef>
              <c:f>'2.74 m (original)'!$L$22:$L$23</c:f>
              <c:numCache>
                <c:formatCode>0.00</c:formatCode>
                <c:ptCount val="2"/>
                <c:pt idx="0">
                  <c:v>34.783666751333499</c:v>
                </c:pt>
                <c:pt idx="1">
                  <c:v>36.283666751333499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688-44FD-884B-2EF976566C62}"/>
            </c:ext>
          </c:extLst>
        </c:ser>
        <c:ser>
          <c:idx val="9"/>
          <c:order val="9"/>
          <c:tx>
            <c:v>Rpole</c:v>
          </c:tx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'2.74 m (original)'!$K$49:$K$50</c:f>
              <c:numCache>
                <c:formatCode>General</c:formatCode>
                <c:ptCount val="2"/>
                <c:pt idx="0">
                  <c:v>3.75</c:v>
                </c:pt>
                <c:pt idx="1">
                  <c:v>3.75</c:v>
                </c:pt>
              </c:numCache>
            </c:numRef>
          </c:xVal>
          <c:yVal>
            <c:numRef>
              <c:f>'2.74 m (original)'!$L$49:$L$50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35.783666751333499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688-44FD-884B-2EF976566C62}"/>
            </c:ext>
          </c:extLst>
        </c:ser>
        <c:ser>
          <c:idx val="10"/>
          <c:order val="10"/>
          <c:tx>
            <c:v>Lpole</c:v>
          </c:tx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'2.74 m (original)'!$K$47:$K$48</c:f>
              <c:numCache>
                <c:formatCode>General</c:formatCode>
                <c:ptCount val="2"/>
                <c:pt idx="0">
                  <c:v>-3.75</c:v>
                </c:pt>
                <c:pt idx="1">
                  <c:v>-3.75</c:v>
                </c:pt>
              </c:numCache>
            </c:numRef>
          </c:xVal>
          <c:yVal>
            <c:numRef>
              <c:f>'2.74 m (original)'!$L$47:$L$48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35.783666751333499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688-44FD-884B-2EF976566C62}"/>
            </c:ext>
          </c:extLst>
        </c:ser>
        <c:ser>
          <c:idx val="11"/>
          <c:order val="11"/>
          <c:tx>
            <c:v>ring</c:v>
          </c:tx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'2.74 m (original)'!$K$52:$K$53</c:f>
              <c:numCache>
                <c:formatCode>General</c:formatCode>
                <c:ptCount val="2"/>
                <c:pt idx="0">
                  <c:v>-6.5</c:v>
                </c:pt>
                <c:pt idx="1">
                  <c:v>6.5</c:v>
                </c:pt>
              </c:numCache>
            </c:numRef>
          </c:xVal>
          <c:yVal>
            <c:numRef>
              <c:f>'2.74 m (original)'!$L$52:$L$53</c:f>
              <c:numCache>
                <c:formatCode>0.00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688-44FD-884B-2EF976566C62}"/>
            </c:ext>
          </c:extLst>
        </c:ser>
        <c:ser>
          <c:idx val="12"/>
          <c:order val="12"/>
          <c:tx>
            <c:v>supportL</c:v>
          </c:tx>
          <c:spPr>
            <a:ln w="444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'2.74 m (original)'!$K$55:$K$56</c:f>
              <c:numCache>
                <c:formatCode>General</c:formatCode>
                <c:ptCount val="2"/>
                <c:pt idx="0">
                  <c:v>-6.5</c:v>
                </c:pt>
                <c:pt idx="1">
                  <c:v>-22</c:v>
                </c:pt>
              </c:numCache>
            </c:numRef>
          </c:xVal>
          <c:yVal>
            <c:numRef>
              <c:f>'2.74 m (original)'!$L$55:$L$56</c:f>
              <c:numCache>
                <c:formatCode>0.00</c:formatCode>
                <c:ptCount val="2"/>
                <c:pt idx="0">
                  <c:v>12</c:v>
                </c:pt>
                <c:pt idx="1">
                  <c:v>4.6183188132799629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688-44FD-884B-2EF976566C62}"/>
            </c:ext>
          </c:extLst>
        </c:ser>
        <c:ser>
          <c:idx val="13"/>
          <c:order val="13"/>
          <c:tx>
            <c:v>supportR</c:v>
          </c:tx>
          <c:spPr>
            <a:ln w="444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'2.74 m (original)'!$K$57:$K$58</c:f>
              <c:numCache>
                <c:formatCode>General</c:formatCode>
                <c:ptCount val="2"/>
                <c:pt idx="0">
                  <c:v>6.5</c:v>
                </c:pt>
                <c:pt idx="1">
                  <c:v>22</c:v>
                </c:pt>
              </c:numCache>
            </c:numRef>
          </c:xVal>
          <c:yVal>
            <c:numRef>
              <c:f>'2.74 m (original)'!$L$57:$L$58</c:f>
              <c:numCache>
                <c:formatCode>0.00</c:formatCode>
                <c:ptCount val="2"/>
                <c:pt idx="0">
                  <c:v>12</c:v>
                </c:pt>
                <c:pt idx="1">
                  <c:v>4.6183188132799629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A688-44FD-884B-2EF976566C62}"/>
            </c:ext>
          </c:extLst>
        </c:ser>
        <c:ser>
          <c:idx val="20"/>
          <c:order val="20"/>
          <c:tx>
            <c:v>base</c:v>
          </c:tx>
          <c:spPr>
            <a:ln w="635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'2.74 m (original)'!$K$60:$K$61</c:f>
              <c:numCache>
                <c:formatCode>General</c:formatCode>
                <c:ptCount val="2"/>
                <c:pt idx="0">
                  <c:v>-12</c:v>
                </c:pt>
                <c:pt idx="1">
                  <c:v>12</c:v>
                </c:pt>
              </c:numCache>
            </c:numRef>
          </c:xVal>
          <c:yVal>
            <c:numRef>
              <c:f>'2.74 m (original)'!$L$60:$L$61</c:f>
              <c:numCache>
                <c:formatCode>General</c:formatCode>
                <c:ptCount val="2"/>
                <c:pt idx="0">
                  <c:v>-0.75</c:v>
                </c:pt>
                <c:pt idx="1">
                  <c:v>-0.75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A688-44FD-884B-2EF976566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267791"/>
        <c:axId val="1936264431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v>Feed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square"/>
                  <c:size val="23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'2.74 m (original)'!$K$16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'2.74 m (original)'!$L$16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34.783666751333499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E-A688-44FD-884B-2EF976566C62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Rside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(original)'!$K$32:$K$33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54</c:v>
                      </c:pt>
                      <c:pt idx="1">
                        <c:v>54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(original)'!$L$32:$L$33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21.799623263480104</c:v>
                      </c:pt>
                      <c:pt idx="1">
                        <c:v>23.299623263480104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A688-44FD-884B-2EF976566C62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LSide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(original)'!$K$34:$K$35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-54</c:v>
                      </c:pt>
                      <c:pt idx="1">
                        <c:v>-54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(original)'!$L$34:$L$35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21.799623263480104</c:v>
                      </c:pt>
                      <c:pt idx="1">
                        <c:v>23.299623263480104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A688-44FD-884B-2EF976566C62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v>side1L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(original)'!$K$29:$K$30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-39</c:v>
                      </c:pt>
                      <c:pt idx="1">
                        <c:v>-39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(original)'!$L$29:$L$30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11.370791146691783</c:v>
                      </c:pt>
                      <c:pt idx="1">
                        <c:v>12.870791146691783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A688-44FD-884B-2EF976566C62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v>side1R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(original)'!$K$27:$K$28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39</c:v>
                      </c:pt>
                      <c:pt idx="1">
                        <c:v>39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(original)'!$L$27:$L$28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11.370791146691783</c:v>
                      </c:pt>
                      <c:pt idx="1">
                        <c:v>12.870791146691783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A688-44FD-884B-2EF976566C62}"/>
                  </c:ext>
                </c:extLst>
              </c15:ser>
            </c15:filteredScatterSeries>
            <c15:filteredScatterSeries>
              <c15:ser>
                <c:idx val="16"/>
                <c:order val="16"/>
                <c:tx>
                  <c:v>side3L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(original)'!$K$39:$K$40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-35</c:v>
                      </c:pt>
                      <c:pt idx="1">
                        <c:v>-35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(original)'!$L$39:$L$40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9.1579350129503183</c:v>
                      </c:pt>
                      <c:pt idx="1">
                        <c:v>10.657935012950318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A688-44FD-884B-2EF976566C62}"/>
                  </c:ext>
                </c:extLst>
              </c15:ser>
            </c15:filteredScatterSeries>
            <c15:filteredScatterSeries>
              <c15:ser>
                <c:idx val="17"/>
                <c:order val="17"/>
                <c:tx>
                  <c:v>side3R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(original)'!$K$37:$K$38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35</c:v>
                      </c:pt>
                      <c:pt idx="1">
                        <c:v>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(original)'!$L$37:$L$38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9.1579350129503183</c:v>
                      </c:pt>
                      <c:pt idx="1">
                        <c:v>10.657935012950318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A688-44FD-884B-2EF976566C62}"/>
                  </c:ext>
                </c:extLst>
              </c15:ser>
            </c15:filteredScatterSeries>
            <c15:filteredScatterSeries>
              <c15:ser>
                <c:idx val="18"/>
                <c:order val="18"/>
                <c:tx>
                  <c:v>side4L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(original)'!$K$44:$K$45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9</c:v>
                      </c:pt>
                      <c:pt idx="1">
                        <c:v>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(original)'!$L$44:$L$45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0.60554509065222506</c:v>
                      </c:pt>
                      <c:pt idx="1">
                        <c:v>2.1055450906522251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A688-44FD-884B-2EF976566C62}"/>
                  </c:ext>
                </c:extLst>
              </c15:ser>
            </c15:filteredScatterSeries>
            <c15:filteredScatterSeries>
              <c15:ser>
                <c:idx val="19"/>
                <c:order val="19"/>
                <c:tx>
                  <c:v>side4R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(original)'!$K$42:$K$43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-9</c:v>
                      </c:pt>
                      <c:pt idx="1">
                        <c:v>-9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(original)'!$L$42:$L$43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0.60554509065222506</c:v>
                      </c:pt>
                      <c:pt idx="1">
                        <c:v>2.1055450906522251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A688-44FD-884B-2EF976566C62}"/>
                  </c:ext>
                </c:extLst>
              </c15:ser>
            </c15:filteredScatterSeries>
          </c:ext>
        </c:extLst>
      </c:scatterChart>
      <c:valAx>
        <c:axId val="1936267791"/>
        <c:scaling>
          <c:orientation val="minMax"/>
          <c:max val="70"/>
          <c:min val="-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264431"/>
        <c:crosses val="autoZero"/>
        <c:crossBetween val="midCat"/>
        <c:majorUnit val="5"/>
      </c:valAx>
      <c:valAx>
        <c:axId val="1936264431"/>
        <c:scaling>
          <c:orientation val="minMax"/>
          <c:max val="7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267791"/>
        <c:crosses val="autoZero"/>
        <c:crossBetween val="midCat"/>
        <c:majorUnit val="5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'1.54 m'!$B$5</c:f>
              <c:strCache>
                <c:ptCount val="1"/>
                <c:pt idx="0">
                  <c:v>y (inches)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'1.54 m'!$A$6:$A$144</c:f>
              <c:numCache>
                <c:formatCode>0</c:formatCode>
                <c:ptCount val="139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0</c:v>
                </c:pt>
                <c:pt idx="31">
                  <c:v>-1</c:v>
                </c:pt>
                <c:pt idx="32">
                  <c:v>-2</c:v>
                </c:pt>
                <c:pt idx="33">
                  <c:v>-3</c:v>
                </c:pt>
                <c:pt idx="34">
                  <c:v>-4</c:v>
                </c:pt>
                <c:pt idx="35">
                  <c:v>-5</c:v>
                </c:pt>
                <c:pt idx="36">
                  <c:v>-6</c:v>
                </c:pt>
                <c:pt idx="37">
                  <c:v>-7</c:v>
                </c:pt>
                <c:pt idx="38">
                  <c:v>-8</c:v>
                </c:pt>
                <c:pt idx="39">
                  <c:v>-9</c:v>
                </c:pt>
                <c:pt idx="40">
                  <c:v>-10</c:v>
                </c:pt>
                <c:pt idx="41">
                  <c:v>-11</c:v>
                </c:pt>
                <c:pt idx="42">
                  <c:v>-12</c:v>
                </c:pt>
                <c:pt idx="43">
                  <c:v>-13</c:v>
                </c:pt>
                <c:pt idx="44">
                  <c:v>-14</c:v>
                </c:pt>
                <c:pt idx="45">
                  <c:v>-15</c:v>
                </c:pt>
                <c:pt idx="46">
                  <c:v>-16</c:v>
                </c:pt>
                <c:pt idx="47">
                  <c:v>-17</c:v>
                </c:pt>
                <c:pt idx="48">
                  <c:v>-18</c:v>
                </c:pt>
                <c:pt idx="49">
                  <c:v>-19</c:v>
                </c:pt>
                <c:pt idx="50">
                  <c:v>-20</c:v>
                </c:pt>
                <c:pt idx="51">
                  <c:v>-21</c:v>
                </c:pt>
                <c:pt idx="52">
                  <c:v>-22</c:v>
                </c:pt>
                <c:pt idx="53">
                  <c:v>-23</c:v>
                </c:pt>
                <c:pt idx="54">
                  <c:v>-24</c:v>
                </c:pt>
                <c:pt idx="55">
                  <c:v>-25</c:v>
                </c:pt>
                <c:pt idx="56">
                  <c:v>-26</c:v>
                </c:pt>
                <c:pt idx="57">
                  <c:v>-27</c:v>
                </c:pt>
                <c:pt idx="58">
                  <c:v>-28</c:v>
                </c:pt>
                <c:pt idx="59">
                  <c:v>-29</c:v>
                </c:pt>
                <c:pt idx="60">
                  <c:v>-30</c:v>
                </c:pt>
              </c:numCache>
            </c:numRef>
          </c:xVal>
          <c:yVal>
            <c:numRef>
              <c:f>'1.54 m'!$B$6:$B$144</c:f>
              <c:numCache>
                <c:formatCode>0.00</c:formatCode>
                <c:ptCount val="139"/>
                <c:pt idx="0">
                  <c:v>10.308441558441558</c:v>
                </c:pt>
                <c:pt idx="1">
                  <c:v>9.6326659451659449</c:v>
                </c:pt>
                <c:pt idx="2">
                  <c:v>8.9797979797979792</c:v>
                </c:pt>
                <c:pt idx="3">
                  <c:v>8.3498376623376629</c:v>
                </c:pt>
                <c:pt idx="4">
                  <c:v>7.7427849927849923</c:v>
                </c:pt>
                <c:pt idx="5">
                  <c:v>7.1586399711399711</c:v>
                </c:pt>
                <c:pt idx="6">
                  <c:v>6.5974025974025974</c:v>
                </c:pt>
                <c:pt idx="7">
                  <c:v>6.0590728715728712</c:v>
                </c:pt>
                <c:pt idx="8">
                  <c:v>5.5436507936507935</c:v>
                </c:pt>
                <c:pt idx="9">
                  <c:v>5.0511363636363633</c:v>
                </c:pt>
                <c:pt idx="10">
                  <c:v>4.5815295815295816</c:v>
                </c:pt>
                <c:pt idx="11">
                  <c:v>4.1348304473304474</c:v>
                </c:pt>
                <c:pt idx="12">
                  <c:v>3.7110389610389611</c:v>
                </c:pt>
                <c:pt idx="13">
                  <c:v>3.3101551226551225</c:v>
                </c:pt>
                <c:pt idx="14">
                  <c:v>2.9321789321789322</c:v>
                </c:pt>
                <c:pt idx="15">
                  <c:v>2.5771103896103895</c:v>
                </c:pt>
                <c:pt idx="16">
                  <c:v>2.2449494949494948</c:v>
                </c:pt>
                <c:pt idx="17">
                  <c:v>1.9356962481962481</c:v>
                </c:pt>
                <c:pt idx="18">
                  <c:v>1.6493506493506493</c:v>
                </c:pt>
                <c:pt idx="19">
                  <c:v>1.3859126984126984</c:v>
                </c:pt>
                <c:pt idx="20">
                  <c:v>1.1453823953823954</c:v>
                </c:pt>
                <c:pt idx="21">
                  <c:v>0.92775974025974028</c:v>
                </c:pt>
                <c:pt idx="22">
                  <c:v>0.73304473304473305</c:v>
                </c:pt>
                <c:pt idx="23">
                  <c:v>0.5612373737373737</c:v>
                </c:pt>
                <c:pt idx="24">
                  <c:v>0.41233766233766234</c:v>
                </c:pt>
                <c:pt idx="25">
                  <c:v>0.28634559884559885</c:v>
                </c:pt>
                <c:pt idx="26">
                  <c:v>0.18326118326118326</c:v>
                </c:pt>
                <c:pt idx="27">
                  <c:v>0.10308441558441558</c:v>
                </c:pt>
                <c:pt idx="28">
                  <c:v>4.5815295815295816E-2</c:v>
                </c:pt>
                <c:pt idx="29">
                  <c:v>1.1453823953823954E-2</c:v>
                </c:pt>
                <c:pt idx="30">
                  <c:v>0</c:v>
                </c:pt>
                <c:pt idx="31">
                  <c:v>1.1453823953823954E-2</c:v>
                </c:pt>
                <c:pt idx="32">
                  <c:v>4.5815295815295816E-2</c:v>
                </c:pt>
                <c:pt idx="33">
                  <c:v>0.10308441558441558</c:v>
                </c:pt>
                <c:pt idx="34">
                  <c:v>0.18326118326118326</c:v>
                </c:pt>
                <c:pt idx="35">
                  <c:v>0.28634559884559885</c:v>
                </c:pt>
                <c:pt idx="36">
                  <c:v>0.41233766233766234</c:v>
                </c:pt>
                <c:pt idx="37">
                  <c:v>0.5612373737373737</c:v>
                </c:pt>
                <c:pt idx="38">
                  <c:v>0.73304473304473305</c:v>
                </c:pt>
                <c:pt idx="39">
                  <c:v>0.92775974025974028</c:v>
                </c:pt>
                <c:pt idx="40">
                  <c:v>1.1453823953823954</c:v>
                </c:pt>
                <c:pt idx="41">
                  <c:v>1.3859126984126984</c:v>
                </c:pt>
                <c:pt idx="42">
                  <c:v>1.6493506493506493</c:v>
                </c:pt>
                <c:pt idx="43">
                  <c:v>1.9356962481962481</c:v>
                </c:pt>
                <c:pt idx="44">
                  <c:v>2.2449494949494948</c:v>
                </c:pt>
                <c:pt idx="45">
                  <c:v>2.5771103896103895</c:v>
                </c:pt>
                <c:pt idx="46">
                  <c:v>2.9321789321789322</c:v>
                </c:pt>
                <c:pt idx="47">
                  <c:v>3.3101551226551225</c:v>
                </c:pt>
                <c:pt idx="48">
                  <c:v>3.7110389610389611</c:v>
                </c:pt>
                <c:pt idx="49">
                  <c:v>4.1348304473304474</c:v>
                </c:pt>
                <c:pt idx="50">
                  <c:v>4.5815295815295816</c:v>
                </c:pt>
                <c:pt idx="51">
                  <c:v>5.0511363636363633</c:v>
                </c:pt>
                <c:pt idx="52">
                  <c:v>5.5436507936507935</c:v>
                </c:pt>
                <c:pt idx="53">
                  <c:v>6.0590728715728712</c:v>
                </c:pt>
                <c:pt idx="54">
                  <c:v>6.5974025974025974</c:v>
                </c:pt>
                <c:pt idx="55">
                  <c:v>7.1586399711399711</c:v>
                </c:pt>
                <c:pt idx="56">
                  <c:v>7.7427849927849923</c:v>
                </c:pt>
                <c:pt idx="57">
                  <c:v>8.3498376623376629</c:v>
                </c:pt>
                <c:pt idx="58">
                  <c:v>8.9797979797979792</c:v>
                </c:pt>
                <c:pt idx="59">
                  <c:v>9.6326659451659449</c:v>
                </c:pt>
                <c:pt idx="60">
                  <c:v>10.308441558441558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E6-4AD6-84C5-B6BE75F84D8F}"/>
            </c:ext>
          </c:extLst>
        </c:ser>
        <c:ser>
          <c:idx val="2"/>
          <c:order val="1"/>
          <c:tx>
            <c:strRef>
              <c:f>'1.54 m'!$M$5</c:f>
              <c:strCache>
                <c:ptCount val="1"/>
                <c:pt idx="0">
                  <c:v>Y-top (in)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'1.54 m'!$A$6:$A$144</c:f>
              <c:numCache>
                <c:formatCode>0</c:formatCode>
                <c:ptCount val="139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0</c:v>
                </c:pt>
                <c:pt idx="31">
                  <c:v>-1</c:v>
                </c:pt>
                <c:pt idx="32">
                  <c:v>-2</c:v>
                </c:pt>
                <c:pt idx="33">
                  <c:v>-3</c:v>
                </c:pt>
                <c:pt idx="34">
                  <c:v>-4</c:v>
                </c:pt>
                <c:pt idx="35">
                  <c:v>-5</c:v>
                </c:pt>
                <c:pt idx="36">
                  <c:v>-6</c:v>
                </c:pt>
                <c:pt idx="37">
                  <c:v>-7</c:v>
                </c:pt>
                <c:pt idx="38">
                  <c:v>-8</c:v>
                </c:pt>
                <c:pt idx="39">
                  <c:v>-9</c:v>
                </c:pt>
                <c:pt idx="40">
                  <c:v>-10</c:v>
                </c:pt>
                <c:pt idx="41">
                  <c:v>-11</c:v>
                </c:pt>
                <c:pt idx="42">
                  <c:v>-12</c:v>
                </c:pt>
                <c:pt idx="43">
                  <c:v>-13</c:v>
                </c:pt>
                <c:pt idx="44">
                  <c:v>-14</c:v>
                </c:pt>
                <c:pt idx="45">
                  <c:v>-15</c:v>
                </c:pt>
                <c:pt idx="46">
                  <c:v>-16</c:v>
                </c:pt>
                <c:pt idx="47">
                  <c:v>-17</c:v>
                </c:pt>
                <c:pt idx="48">
                  <c:v>-18</c:v>
                </c:pt>
                <c:pt idx="49">
                  <c:v>-19</c:v>
                </c:pt>
                <c:pt idx="50">
                  <c:v>-20</c:v>
                </c:pt>
                <c:pt idx="51">
                  <c:v>-21</c:v>
                </c:pt>
                <c:pt idx="52">
                  <c:v>-22</c:v>
                </c:pt>
                <c:pt idx="53">
                  <c:v>-23</c:v>
                </c:pt>
                <c:pt idx="54">
                  <c:v>-24</c:v>
                </c:pt>
                <c:pt idx="55">
                  <c:v>-25</c:v>
                </c:pt>
                <c:pt idx="56">
                  <c:v>-26</c:v>
                </c:pt>
                <c:pt idx="57">
                  <c:v>-27</c:v>
                </c:pt>
                <c:pt idx="58">
                  <c:v>-28</c:v>
                </c:pt>
                <c:pt idx="59">
                  <c:v>-29</c:v>
                </c:pt>
                <c:pt idx="60">
                  <c:v>-30</c:v>
                </c:pt>
              </c:numCache>
            </c:numRef>
          </c:xVal>
          <c:yVal>
            <c:numRef>
              <c:f>'1.54 m'!$M$6:$M$144</c:f>
              <c:numCache>
                <c:formatCode>0.00</c:formatCode>
                <c:ptCount val="139"/>
                <c:pt idx="0">
                  <c:v>11.808441558441558</c:v>
                </c:pt>
                <c:pt idx="1">
                  <c:v>11.132665945165945</c:v>
                </c:pt>
                <c:pt idx="2">
                  <c:v>10.479797979797979</c:v>
                </c:pt>
                <c:pt idx="3">
                  <c:v>9.8498376623376629</c:v>
                </c:pt>
                <c:pt idx="4">
                  <c:v>9.2427849927849923</c:v>
                </c:pt>
                <c:pt idx="5">
                  <c:v>8.6586399711399711</c:v>
                </c:pt>
                <c:pt idx="6">
                  <c:v>8.0974025974025974</c:v>
                </c:pt>
                <c:pt idx="7">
                  <c:v>7.5590728715728712</c:v>
                </c:pt>
                <c:pt idx="8">
                  <c:v>7.0436507936507935</c:v>
                </c:pt>
                <c:pt idx="9">
                  <c:v>6.5511363636363633</c:v>
                </c:pt>
                <c:pt idx="10">
                  <c:v>6.0815295815295816</c:v>
                </c:pt>
                <c:pt idx="11">
                  <c:v>5.6348304473304474</c:v>
                </c:pt>
                <c:pt idx="12">
                  <c:v>5.2110389610389607</c:v>
                </c:pt>
                <c:pt idx="13">
                  <c:v>4.8101551226551225</c:v>
                </c:pt>
                <c:pt idx="14">
                  <c:v>4.4321789321789318</c:v>
                </c:pt>
                <c:pt idx="15">
                  <c:v>4.0771103896103895</c:v>
                </c:pt>
                <c:pt idx="16">
                  <c:v>3.7449494949494948</c:v>
                </c:pt>
                <c:pt idx="17">
                  <c:v>3.4356962481962481</c:v>
                </c:pt>
                <c:pt idx="18">
                  <c:v>3.1493506493506493</c:v>
                </c:pt>
                <c:pt idx="19">
                  <c:v>2.8859126984126986</c:v>
                </c:pt>
                <c:pt idx="20">
                  <c:v>2.6453823953823954</c:v>
                </c:pt>
                <c:pt idx="21">
                  <c:v>2.4277597402597402</c:v>
                </c:pt>
                <c:pt idx="22">
                  <c:v>2.2330447330447329</c:v>
                </c:pt>
                <c:pt idx="23">
                  <c:v>2.0612373737373737</c:v>
                </c:pt>
                <c:pt idx="24">
                  <c:v>1.9123376623376624</c:v>
                </c:pt>
                <c:pt idx="25">
                  <c:v>1.7863455988455987</c:v>
                </c:pt>
                <c:pt idx="26">
                  <c:v>1.6832611832611832</c:v>
                </c:pt>
                <c:pt idx="27">
                  <c:v>1.6030844155844155</c:v>
                </c:pt>
                <c:pt idx="28">
                  <c:v>1.5458152958152958</c:v>
                </c:pt>
                <c:pt idx="29">
                  <c:v>1.511453823953824</c:v>
                </c:pt>
                <c:pt idx="30">
                  <c:v>1.5</c:v>
                </c:pt>
                <c:pt idx="31">
                  <c:v>1.511453823953824</c:v>
                </c:pt>
                <c:pt idx="32">
                  <c:v>1.5458152958152958</c:v>
                </c:pt>
                <c:pt idx="33">
                  <c:v>1.6030844155844155</c:v>
                </c:pt>
                <c:pt idx="34">
                  <c:v>1.6832611832611832</c:v>
                </c:pt>
                <c:pt idx="35">
                  <c:v>1.7863455988455987</c:v>
                </c:pt>
                <c:pt idx="36">
                  <c:v>1.9123376623376624</c:v>
                </c:pt>
                <c:pt idx="37">
                  <c:v>2.0612373737373737</c:v>
                </c:pt>
                <c:pt idx="38">
                  <c:v>2.2330447330447329</c:v>
                </c:pt>
                <c:pt idx="39">
                  <c:v>2.4277597402597402</c:v>
                </c:pt>
                <c:pt idx="40">
                  <c:v>2.6453823953823954</c:v>
                </c:pt>
                <c:pt idx="41">
                  <c:v>2.8859126984126986</c:v>
                </c:pt>
                <c:pt idx="42">
                  <c:v>3.1493506493506493</c:v>
                </c:pt>
                <c:pt idx="43">
                  <c:v>3.4356962481962481</c:v>
                </c:pt>
                <c:pt idx="44">
                  <c:v>3.7449494949494948</c:v>
                </c:pt>
                <c:pt idx="45">
                  <c:v>4.0771103896103895</c:v>
                </c:pt>
                <c:pt idx="46">
                  <c:v>4.4321789321789318</c:v>
                </c:pt>
                <c:pt idx="47">
                  <c:v>4.8101551226551225</c:v>
                </c:pt>
                <c:pt idx="48">
                  <c:v>5.2110389610389607</c:v>
                </c:pt>
                <c:pt idx="49">
                  <c:v>5.6348304473304474</c:v>
                </c:pt>
                <c:pt idx="50">
                  <c:v>6.0815295815295816</c:v>
                </c:pt>
                <c:pt idx="51">
                  <c:v>6.5511363636363633</c:v>
                </c:pt>
                <c:pt idx="52">
                  <c:v>7.0436507936507935</c:v>
                </c:pt>
                <c:pt idx="53">
                  <c:v>7.5590728715728712</c:v>
                </c:pt>
                <c:pt idx="54">
                  <c:v>8.0974025974025974</c:v>
                </c:pt>
                <c:pt idx="55">
                  <c:v>8.6586399711399711</c:v>
                </c:pt>
                <c:pt idx="56">
                  <c:v>9.2427849927849923</c:v>
                </c:pt>
                <c:pt idx="57">
                  <c:v>9.8498376623376629</c:v>
                </c:pt>
                <c:pt idx="58">
                  <c:v>10.479797979797979</c:v>
                </c:pt>
                <c:pt idx="59">
                  <c:v>11.132665945165945</c:v>
                </c:pt>
                <c:pt idx="60">
                  <c:v>11.808441558441558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92-48BD-AEC7-E3B97D9D5482}"/>
            </c:ext>
          </c:extLst>
        </c:ser>
        <c:ser>
          <c:idx val="5"/>
          <c:order val="5"/>
          <c:tx>
            <c:v>feed top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AC-4167-8C1D-62BC324DA7F1}"/>
              </c:ext>
            </c:extLst>
          </c:dPt>
          <c:xVal>
            <c:numRef>
              <c:f>'1.54 m'!$K$20:$K$21</c:f>
              <c:numCache>
                <c:formatCode>General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xVal>
          <c:yVal>
            <c:numRef>
              <c:f>'1.54 m'!$L$20:$L$21</c:f>
              <c:numCache>
                <c:formatCode>0.00</c:formatCode>
                <c:ptCount val="2"/>
                <c:pt idx="0">
                  <c:v>24.196477143482067</c:v>
                </c:pt>
                <c:pt idx="1">
                  <c:v>24.196477143482067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392-48BD-AEC7-E3B97D9D5482}"/>
            </c:ext>
          </c:extLst>
        </c:ser>
        <c:ser>
          <c:idx val="6"/>
          <c:order val="6"/>
          <c:tx>
            <c:v>feed bottom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'1.54 m'!$K$18:$K$19</c:f>
              <c:numCache>
                <c:formatCode>General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xVal>
          <c:yVal>
            <c:numRef>
              <c:f>'1.54 m'!$L$18:$L$19</c:f>
              <c:numCache>
                <c:formatCode>0.00</c:formatCode>
                <c:ptCount val="2"/>
                <c:pt idx="0">
                  <c:v>22.696477143482067</c:v>
                </c:pt>
                <c:pt idx="1">
                  <c:v>22.696477143482067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392-48BD-AEC7-E3B97D9D5482}"/>
            </c:ext>
          </c:extLst>
        </c:ser>
        <c:ser>
          <c:idx val="7"/>
          <c:order val="7"/>
          <c:tx>
            <c:v>feedR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'1.54 m'!$K$24:$K$25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'1.54 m'!$L$24:$L$25</c:f>
              <c:numCache>
                <c:formatCode>0.00</c:formatCode>
                <c:ptCount val="2"/>
                <c:pt idx="0">
                  <c:v>22.696477143482067</c:v>
                </c:pt>
                <c:pt idx="1">
                  <c:v>24.196477143482067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392-48BD-AEC7-E3B97D9D5482}"/>
            </c:ext>
          </c:extLst>
        </c:ser>
        <c:ser>
          <c:idx val="8"/>
          <c:order val="8"/>
          <c:tx>
            <c:v>feedL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'1.54 m'!$K$22:$K$23</c:f>
              <c:numCache>
                <c:formatCode>General</c:formatCode>
                <c:ptCount val="2"/>
                <c:pt idx="0">
                  <c:v>-3</c:v>
                </c:pt>
                <c:pt idx="1">
                  <c:v>-3</c:v>
                </c:pt>
              </c:numCache>
            </c:numRef>
          </c:xVal>
          <c:yVal>
            <c:numRef>
              <c:f>'1.54 m'!$L$22:$L$23</c:f>
              <c:numCache>
                <c:formatCode>0.00</c:formatCode>
                <c:ptCount val="2"/>
                <c:pt idx="0">
                  <c:v>22.696477143482067</c:v>
                </c:pt>
                <c:pt idx="1">
                  <c:v>24.196477143482067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392-48BD-AEC7-E3B97D9D5482}"/>
            </c:ext>
          </c:extLst>
        </c:ser>
        <c:ser>
          <c:idx val="9"/>
          <c:order val="9"/>
          <c:tx>
            <c:v>Rpole</c:v>
          </c:tx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'1.54 m'!$K$49:$K$50</c:f>
              <c:numCache>
                <c:formatCode>General</c:formatCode>
                <c:ptCount val="2"/>
                <c:pt idx="0">
                  <c:v>3.75</c:v>
                </c:pt>
                <c:pt idx="1">
                  <c:v>3.75</c:v>
                </c:pt>
              </c:numCache>
            </c:numRef>
          </c:xVal>
          <c:yVal>
            <c:numRef>
              <c:f>'1.54 m'!$L$49:$L$50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23.696477143482067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392-48BD-AEC7-E3B97D9D5482}"/>
            </c:ext>
          </c:extLst>
        </c:ser>
        <c:ser>
          <c:idx val="10"/>
          <c:order val="10"/>
          <c:tx>
            <c:v>Lpole</c:v>
          </c:tx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'1.54 m'!$K$47:$K$48</c:f>
              <c:numCache>
                <c:formatCode>General</c:formatCode>
                <c:ptCount val="2"/>
                <c:pt idx="0">
                  <c:v>-3.75</c:v>
                </c:pt>
                <c:pt idx="1">
                  <c:v>-3.75</c:v>
                </c:pt>
              </c:numCache>
            </c:numRef>
          </c:xVal>
          <c:yVal>
            <c:numRef>
              <c:f>'1.54 m'!$L$47:$L$48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23.696477143482067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392-48BD-AEC7-E3B97D9D5482}"/>
            </c:ext>
          </c:extLst>
        </c:ser>
        <c:ser>
          <c:idx val="11"/>
          <c:order val="11"/>
          <c:tx>
            <c:v>ring</c:v>
          </c:tx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'1.54 m'!$K$52:$K$53</c:f>
              <c:numCache>
                <c:formatCode>General</c:formatCode>
                <c:ptCount val="2"/>
                <c:pt idx="0">
                  <c:v>-4.25</c:v>
                </c:pt>
                <c:pt idx="1">
                  <c:v>4.25</c:v>
                </c:pt>
              </c:numCache>
            </c:numRef>
          </c:xVal>
          <c:yVal>
            <c:numRef>
              <c:f>'1.54 m'!$L$52:$L$53</c:f>
              <c:numCache>
                <c:formatCode>0.00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392-48BD-AEC7-E3B97D9D5482}"/>
            </c:ext>
          </c:extLst>
        </c:ser>
        <c:ser>
          <c:idx val="12"/>
          <c:order val="12"/>
          <c:tx>
            <c:v>supportL</c:v>
          </c:tx>
          <c:spPr>
            <a:ln w="444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'1.54 m'!$K$55:$K$56</c:f>
              <c:numCache>
                <c:formatCode>General</c:formatCode>
                <c:ptCount val="2"/>
                <c:pt idx="0">
                  <c:v>-4.25</c:v>
                </c:pt>
                <c:pt idx="1">
                  <c:v>-20</c:v>
                </c:pt>
              </c:numCache>
            </c:numRef>
          </c:xVal>
          <c:yVal>
            <c:numRef>
              <c:f>'1.54 m'!$L$55:$L$56</c:f>
              <c:numCache>
                <c:formatCode>0.00</c:formatCode>
                <c:ptCount val="2"/>
                <c:pt idx="0">
                  <c:v>12</c:v>
                </c:pt>
                <c:pt idx="1">
                  <c:v>5.5815295815295816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392-48BD-AEC7-E3B97D9D5482}"/>
            </c:ext>
          </c:extLst>
        </c:ser>
        <c:ser>
          <c:idx val="13"/>
          <c:order val="13"/>
          <c:tx>
            <c:v>supportR</c:v>
          </c:tx>
          <c:spPr>
            <a:ln w="444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'1.54 m'!$K$57:$K$58</c:f>
              <c:numCache>
                <c:formatCode>General</c:formatCode>
                <c:ptCount val="2"/>
                <c:pt idx="0">
                  <c:v>4.25</c:v>
                </c:pt>
                <c:pt idx="1">
                  <c:v>20</c:v>
                </c:pt>
              </c:numCache>
            </c:numRef>
          </c:xVal>
          <c:yVal>
            <c:numRef>
              <c:f>'1.54 m'!$L$57:$L$58</c:f>
              <c:numCache>
                <c:formatCode>0.00</c:formatCode>
                <c:ptCount val="2"/>
                <c:pt idx="0">
                  <c:v>12</c:v>
                </c:pt>
                <c:pt idx="1">
                  <c:v>5.5815295815295816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392-48BD-AEC7-E3B97D9D5482}"/>
            </c:ext>
          </c:extLst>
        </c:ser>
        <c:ser>
          <c:idx val="20"/>
          <c:order val="20"/>
          <c:tx>
            <c:v>base</c:v>
          </c:tx>
          <c:spPr>
            <a:ln w="635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'1.54 m'!$K$60:$K$61</c:f>
              <c:numCache>
                <c:formatCode>General</c:formatCode>
                <c:ptCount val="2"/>
                <c:pt idx="0">
                  <c:v>-12</c:v>
                </c:pt>
                <c:pt idx="1">
                  <c:v>12</c:v>
                </c:pt>
              </c:numCache>
            </c:numRef>
          </c:xVal>
          <c:yVal>
            <c:numRef>
              <c:f>'1.54 m'!$L$60:$L$61</c:f>
              <c:numCache>
                <c:formatCode>General</c:formatCode>
                <c:ptCount val="2"/>
                <c:pt idx="0">
                  <c:v>-0.75</c:v>
                </c:pt>
                <c:pt idx="1">
                  <c:v>-0.75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D392-48BD-AEC7-E3B97D9D5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267791"/>
        <c:axId val="1936264431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v>Feed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square"/>
                  <c:size val="23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'1.54 m'!$K$16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'1.54 m'!$L$16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22.696477143482067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C9E6-4AD6-84C5-B6BE75F84D8F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Rside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m'!$K$32:$K$33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30</c:v>
                      </c:pt>
                      <c:pt idx="1">
                        <c:v>30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m'!$L$32:$L$33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10.308441558441558</c:v>
                      </c:pt>
                      <c:pt idx="1">
                        <c:v>11.808441558441558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392-48BD-AEC7-E3B97D9D5482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LSide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m'!$K$34:$K$35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-30</c:v>
                      </c:pt>
                      <c:pt idx="1">
                        <c:v>-30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m'!$L$34:$L$35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10.308441558441558</c:v>
                      </c:pt>
                      <c:pt idx="1">
                        <c:v>11.808441558441558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392-48BD-AEC7-E3B97D9D5482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v>side1L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m'!$K$29:$K$30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-15</c:v>
                      </c:pt>
                      <c:pt idx="1">
                        <c:v>-15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m'!$L$29:$L$30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2.5771103896103895</c:v>
                      </c:pt>
                      <c:pt idx="1">
                        <c:v>4.0771103896103895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D392-48BD-AEC7-E3B97D9D5482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v>side1R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m'!$K$27:$K$28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15</c:v>
                      </c:pt>
                      <c:pt idx="1">
                        <c:v>15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m'!$L$27:$L$28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2.5771103896103895</c:v>
                      </c:pt>
                      <c:pt idx="1">
                        <c:v>4.0771103896103895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D392-48BD-AEC7-E3B97D9D5482}"/>
                  </c:ext>
                </c:extLst>
              </c15:ser>
            </c15:filteredScatterSeries>
            <c15:filteredScatterSeries>
              <c15:ser>
                <c:idx val="16"/>
                <c:order val="16"/>
                <c:tx>
                  <c:v>side3L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m'!$K$39:$K$40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-11</c:v>
                      </c:pt>
                      <c:pt idx="1">
                        <c:v>-11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m'!$L$39:$L$40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1.3859126984126984</c:v>
                      </c:pt>
                      <c:pt idx="1">
                        <c:v>2.8859126984126986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392-48BD-AEC7-E3B97D9D5482}"/>
                  </c:ext>
                </c:extLst>
              </c15:ser>
            </c15:filteredScatterSeries>
            <c15:filteredScatterSeries>
              <c15:ser>
                <c:idx val="17"/>
                <c:order val="17"/>
                <c:tx>
                  <c:v>side3R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m'!$K$37:$K$38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11</c:v>
                      </c:pt>
                      <c:pt idx="1">
                        <c:v>11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m'!$L$37:$L$38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1.3859126984126984</c:v>
                      </c:pt>
                      <c:pt idx="1">
                        <c:v>2.8859126984126986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D392-48BD-AEC7-E3B97D9D5482}"/>
                  </c:ext>
                </c:extLst>
              </c15:ser>
            </c15:filteredScatterSeries>
            <c15:filteredScatterSeries>
              <c15:ser>
                <c:idx val="18"/>
                <c:order val="18"/>
                <c:tx>
                  <c:v>side4L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m'!$K$44:$K$45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m'!$L$44:$L$45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D392-48BD-AEC7-E3B97D9D5482}"/>
                  </c:ext>
                </c:extLst>
              </c15:ser>
            </c15:filteredScatterSeries>
            <c15:filteredScatterSeries>
              <c15:ser>
                <c:idx val="19"/>
                <c:order val="19"/>
                <c:tx>
                  <c:v>side4R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m'!$K$42:$K$43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m'!$L$42:$L$43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D392-48BD-AEC7-E3B97D9D5482}"/>
                  </c:ext>
                </c:extLst>
              </c15:ser>
            </c15:filteredScatterSeries>
          </c:ext>
        </c:extLst>
      </c:scatterChart>
      <c:valAx>
        <c:axId val="1936267791"/>
        <c:scaling>
          <c:orientation val="minMax"/>
          <c:max val="70"/>
          <c:min val="-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264431"/>
        <c:crosses val="autoZero"/>
        <c:crossBetween val="midCat"/>
        <c:majorUnit val="5"/>
      </c:valAx>
      <c:valAx>
        <c:axId val="1936264431"/>
        <c:scaling>
          <c:orientation val="minMax"/>
          <c:max val="7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267791"/>
        <c:crosses val="autoZero"/>
        <c:crossBetween val="midCat"/>
        <c:majorUnit val="5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'3.5 m'!$B$5</c:f>
              <c:strCache>
                <c:ptCount val="1"/>
                <c:pt idx="0">
                  <c:v>y (inches)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'3.5 m'!$A$6:$A$144</c:f>
              <c:numCache>
                <c:formatCode>0</c:formatCode>
                <c:ptCount val="139"/>
                <c:pt idx="0">
                  <c:v>69</c:v>
                </c:pt>
                <c:pt idx="1">
                  <c:v>68</c:v>
                </c:pt>
                <c:pt idx="2">
                  <c:v>67</c:v>
                </c:pt>
                <c:pt idx="3">
                  <c:v>66</c:v>
                </c:pt>
                <c:pt idx="4">
                  <c:v>65</c:v>
                </c:pt>
                <c:pt idx="5">
                  <c:v>64</c:v>
                </c:pt>
                <c:pt idx="6">
                  <c:v>63</c:v>
                </c:pt>
                <c:pt idx="7">
                  <c:v>62</c:v>
                </c:pt>
                <c:pt idx="8">
                  <c:v>61</c:v>
                </c:pt>
                <c:pt idx="9">
                  <c:v>60</c:v>
                </c:pt>
                <c:pt idx="10">
                  <c:v>59</c:v>
                </c:pt>
                <c:pt idx="11">
                  <c:v>58</c:v>
                </c:pt>
                <c:pt idx="12">
                  <c:v>57</c:v>
                </c:pt>
                <c:pt idx="13">
                  <c:v>56</c:v>
                </c:pt>
                <c:pt idx="14">
                  <c:v>55</c:v>
                </c:pt>
                <c:pt idx="15">
                  <c:v>54</c:v>
                </c:pt>
                <c:pt idx="16">
                  <c:v>53</c:v>
                </c:pt>
                <c:pt idx="17">
                  <c:v>52</c:v>
                </c:pt>
                <c:pt idx="18">
                  <c:v>51</c:v>
                </c:pt>
                <c:pt idx="19">
                  <c:v>50</c:v>
                </c:pt>
                <c:pt idx="20">
                  <c:v>49</c:v>
                </c:pt>
                <c:pt idx="21">
                  <c:v>48</c:v>
                </c:pt>
                <c:pt idx="22">
                  <c:v>47</c:v>
                </c:pt>
                <c:pt idx="23">
                  <c:v>46</c:v>
                </c:pt>
                <c:pt idx="24">
                  <c:v>45</c:v>
                </c:pt>
                <c:pt idx="25">
                  <c:v>44</c:v>
                </c:pt>
                <c:pt idx="26">
                  <c:v>43</c:v>
                </c:pt>
                <c:pt idx="27">
                  <c:v>42</c:v>
                </c:pt>
                <c:pt idx="28">
                  <c:v>41</c:v>
                </c:pt>
                <c:pt idx="29">
                  <c:v>40</c:v>
                </c:pt>
                <c:pt idx="30">
                  <c:v>39</c:v>
                </c:pt>
                <c:pt idx="31">
                  <c:v>38</c:v>
                </c:pt>
                <c:pt idx="32">
                  <c:v>37</c:v>
                </c:pt>
                <c:pt idx="33">
                  <c:v>36</c:v>
                </c:pt>
                <c:pt idx="34">
                  <c:v>35</c:v>
                </c:pt>
                <c:pt idx="35">
                  <c:v>34</c:v>
                </c:pt>
                <c:pt idx="36">
                  <c:v>33</c:v>
                </c:pt>
                <c:pt idx="37">
                  <c:v>32</c:v>
                </c:pt>
                <c:pt idx="38">
                  <c:v>31</c:v>
                </c:pt>
                <c:pt idx="39">
                  <c:v>30</c:v>
                </c:pt>
                <c:pt idx="40">
                  <c:v>29</c:v>
                </c:pt>
                <c:pt idx="41">
                  <c:v>28</c:v>
                </c:pt>
                <c:pt idx="42">
                  <c:v>27</c:v>
                </c:pt>
                <c:pt idx="43">
                  <c:v>26</c:v>
                </c:pt>
                <c:pt idx="44">
                  <c:v>25</c:v>
                </c:pt>
                <c:pt idx="45">
                  <c:v>24</c:v>
                </c:pt>
                <c:pt idx="46">
                  <c:v>23</c:v>
                </c:pt>
                <c:pt idx="47">
                  <c:v>22</c:v>
                </c:pt>
                <c:pt idx="48">
                  <c:v>21</c:v>
                </c:pt>
                <c:pt idx="49">
                  <c:v>20</c:v>
                </c:pt>
                <c:pt idx="50">
                  <c:v>19</c:v>
                </c:pt>
                <c:pt idx="51">
                  <c:v>18</c:v>
                </c:pt>
                <c:pt idx="52">
                  <c:v>17</c:v>
                </c:pt>
                <c:pt idx="53">
                  <c:v>16</c:v>
                </c:pt>
                <c:pt idx="54">
                  <c:v>15</c:v>
                </c:pt>
                <c:pt idx="55">
                  <c:v>14</c:v>
                </c:pt>
                <c:pt idx="56">
                  <c:v>13</c:v>
                </c:pt>
                <c:pt idx="57">
                  <c:v>12</c:v>
                </c:pt>
                <c:pt idx="58">
                  <c:v>11</c:v>
                </c:pt>
                <c:pt idx="59">
                  <c:v>10</c:v>
                </c:pt>
                <c:pt idx="60">
                  <c:v>9</c:v>
                </c:pt>
                <c:pt idx="61">
                  <c:v>8</c:v>
                </c:pt>
                <c:pt idx="62">
                  <c:v>7</c:v>
                </c:pt>
                <c:pt idx="63">
                  <c:v>6</c:v>
                </c:pt>
                <c:pt idx="64">
                  <c:v>5</c:v>
                </c:pt>
                <c:pt idx="65">
                  <c:v>4</c:v>
                </c:pt>
                <c:pt idx="66">
                  <c:v>3</c:v>
                </c:pt>
                <c:pt idx="67">
                  <c:v>2</c:v>
                </c:pt>
                <c:pt idx="68">
                  <c:v>1</c:v>
                </c:pt>
                <c:pt idx="69">
                  <c:v>0</c:v>
                </c:pt>
                <c:pt idx="70">
                  <c:v>-1</c:v>
                </c:pt>
                <c:pt idx="71">
                  <c:v>-2</c:v>
                </c:pt>
                <c:pt idx="72">
                  <c:v>-3</c:v>
                </c:pt>
                <c:pt idx="73">
                  <c:v>-4</c:v>
                </c:pt>
                <c:pt idx="74">
                  <c:v>-5</c:v>
                </c:pt>
                <c:pt idx="75">
                  <c:v>-6</c:v>
                </c:pt>
                <c:pt idx="76">
                  <c:v>-7</c:v>
                </c:pt>
                <c:pt idx="77">
                  <c:v>-8</c:v>
                </c:pt>
                <c:pt idx="78">
                  <c:v>-9</c:v>
                </c:pt>
                <c:pt idx="79">
                  <c:v>-10</c:v>
                </c:pt>
                <c:pt idx="80">
                  <c:v>-11</c:v>
                </c:pt>
                <c:pt idx="81">
                  <c:v>-12</c:v>
                </c:pt>
                <c:pt idx="82">
                  <c:v>-13</c:v>
                </c:pt>
                <c:pt idx="83">
                  <c:v>-14</c:v>
                </c:pt>
                <c:pt idx="84">
                  <c:v>-15</c:v>
                </c:pt>
                <c:pt idx="85">
                  <c:v>-16</c:v>
                </c:pt>
                <c:pt idx="86">
                  <c:v>-17</c:v>
                </c:pt>
                <c:pt idx="87">
                  <c:v>-18</c:v>
                </c:pt>
                <c:pt idx="88">
                  <c:v>-19</c:v>
                </c:pt>
                <c:pt idx="89">
                  <c:v>-20</c:v>
                </c:pt>
                <c:pt idx="90">
                  <c:v>-21</c:v>
                </c:pt>
                <c:pt idx="91">
                  <c:v>-22</c:v>
                </c:pt>
                <c:pt idx="92">
                  <c:v>-23</c:v>
                </c:pt>
                <c:pt idx="93">
                  <c:v>-24</c:v>
                </c:pt>
                <c:pt idx="94">
                  <c:v>-25</c:v>
                </c:pt>
                <c:pt idx="95">
                  <c:v>-26</c:v>
                </c:pt>
                <c:pt idx="96">
                  <c:v>-27</c:v>
                </c:pt>
                <c:pt idx="97">
                  <c:v>-28</c:v>
                </c:pt>
                <c:pt idx="98">
                  <c:v>-29</c:v>
                </c:pt>
                <c:pt idx="99">
                  <c:v>-30</c:v>
                </c:pt>
                <c:pt idx="100">
                  <c:v>-31</c:v>
                </c:pt>
                <c:pt idx="101">
                  <c:v>-32</c:v>
                </c:pt>
                <c:pt idx="102">
                  <c:v>-33</c:v>
                </c:pt>
                <c:pt idx="103">
                  <c:v>-34</c:v>
                </c:pt>
                <c:pt idx="104">
                  <c:v>-35</c:v>
                </c:pt>
                <c:pt idx="105">
                  <c:v>-36</c:v>
                </c:pt>
                <c:pt idx="106">
                  <c:v>-37</c:v>
                </c:pt>
                <c:pt idx="107">
                  <c:v>-38</c:v>
                </c:pt>
                <c:pt idx="108">
                  <c:v>-39</c:v>
                </c:pt>
                <c:pt idx="109">
                  <c:v>-40</c:v>
                </c:pt>
                <c:pt idx="110">
                  <c:v>-41</c:v>
                </c:pt>
                <c:pt idx="111">
                  <c:v>-42</c:v>
                </c:pt>
                <c:pt idx="112">
                  <c:v>-43</c:v>
                </c:pt>
                <c:pt idx="113">
                  <c:v>-44</c:v>
                </c:pt>
                <c:pt idx="114">
                  <c:v>-45</c:v>
                </c:pt>
                <c:pt idx="115">
                  <c:v>-46</c:v>
                </c:pt>
                <c:pt idx="116">
                  <c:v>-47</c:v>
                </c:pt>
                <c:pt idx="117">
                  <c:v>-48</c:v>
                </c:pt>
                <c:pt idx="118">
                  <c:v>-49</c:v>
                </c:pt>
                <c:pt idx="119">
                  <c:v>-50</c:v>
                </c:pt>
                <c:pt idx="120">
                  <c:v>-51</c:v>
                </c:pt>
                <c:pt idx="121">
                  <c:v>-52</c:v>
                </c:pt>
                <c:pt idx="122">
                  <c:v>-53</c:v>
                </c:pt>
                <c:pt idx="123">
                  <c:v>-54</c:v>
                </c:pt>
                <c:pt idx="124">
                  <c:v>-55</c:v>
                </c:pt>
                <c:pt idx="125">
                  <c:v>-56</c:v>
                </c:pt>
                <c:pt idx="126">
                  <c:v>-57</c:v>
                </c:pt>
                <c:pt idx="127">
                  <c:v>-58</c:v>
                </c:pt>
                <c:pt idx="128">
                  <c:v>-59</c:v>
                </c:pt>
                <c:pt idx="129">
                  <c:v>-60</c:v>
                </c:pt>
                <c:pt idx="130">
                  <c:v>-61</c:v>
                </c:pt>
                <c:pt idx="131">
                  <c:v>-62</c:v>
                </c:pt>
                <c:pt idx="132">
                  <c:v>-63</c:v>
                </c:pt>
                <c:pt idx="133">
                  <c:v>-64</c:v>
                </c:pt>
                <c:pt idx="134">
                  <c:v>-65</c:v>
                </c:pt>
                <c:pt idx="135">
                  <c:v>-66</c:v>
                </c:pt>
                <c:pt idx="136">
                  <c:v>-67</c:v>
                </c:pt>
                <c:pt idx="137">
                  <c:v>-68</c:v>
                </c:pt>
                <c:pt idx="138">
                  <c:v>-69</c:v>
                </c:pt>
              </c:numCache>
            </c:numRef>
          </c:xVal>
          <c:yVal>
            <c:numRef>
              <c:f>'3.5 m'!$B$6:$B$144</c:f>
              <c:numCache>
                <c:formatCode>0.00</c:formatCode>
                <c:ptCount val="139"/>
                <c:pt idx="0">
                  <c:v>23.993928571428572</c:v>
                </c:pt>
                <c:pt idx="1">
                  <c:v>23.303492063492065</c:v>
                </c:pt>
                <c:pt idx="2">
                  <c:v>22.623134920634921</c:v>
                </c:pt>
                <c:pt idx="3">
                  <c:v>21.952857142857145</c:v>
                </c:pt>
                <c:pt idx="4">
                  <c:v>21.292658730158731</c:v>
                </c:pt>
                <c:pt idx="5">
                  <c:v>20.642539682539685</c:v>
                </c:pt>
                <c:pt idx="6">
                  <c:v>20.002500000000001</c:v>
                </c:pt>
                <c:pt idx="7">
                  <c:v>19.372539682539685</c:v>
                </c:pt>
                <c:pt idx="8">
                  <c:v>18.752658730158732</c:v>
                </c:pt>
                <c:pt idx="9">
                  <c:v>18.142857142857142</c:v>
                </c:pt>
                <c:pt idx="10">
                  <c:v>17.543134920634923</c:v>
                </c:pt>
                <c:pt idx="11">
                  <c:v>16.953492063492064</c:v>
                </c:pt>
                <c:pt idx="12">
                  <c:v>16.373928571428571</c:v>
                </c:pt>
                <c:pt idx="13">
                  <c:v>15.804444444444446</c:v>
                </c:pt>
                <c:pt idx="14">
                  <c:v>15.245039682539684</c:v>
                </c:pt>
                <c:pt idx="15">
                  <c:v>14.695714285714287</c:v>
                </c:pt>
                <c:pt idx="16">
                  <c:v>14.156468253968255</c:v>
                </c:pt>
                <c:pt idx="17">
                  <c:v>13.627301587301588</c:v>
                </c:pt>
                <c:pt idx="18">
                  <c:v>13.108214285714286</c:v>
                </c:pt>
                <c:pt idx="19">
                  <c:v>12.59920634920635</c:v>
                </c:pt>
                <c:pt idx="20">
                  <c:v>12.100277777777778</c:v>
                </c:pt>
                <c:pt idx="21">
                  <c:v>11.611428571428572</c:v>
                </c:pt>
                <c:pt idx="22">
                  <c:v>11.132658730158731</c:v>
                </c:pt>
                <c:pt idx="23">
                  <c:v>10.663968253968255</c:v>
                </c:pt>
                <c:pt idx="24">
                  <c:v>10.205357142857144</c:v>
                </c:pt>
                <c:pt idx="25">
                  <c:v>9.7568253968253966</c:v>
                </c:pt>
                <c:pt idx="26">
                  <c:v>9.318373015873016</c:v>
                </c:pt>
                <c:pt idx="27">
                  <c:v>8.89</c:v>
                </c:pt>
                <c:pt idx="28">
                  <c:v>8.4717063492063502</c:v>
                </c:pt>
                <c:pt idx="29">
                  <c:v>8.0634920634920633</c:v>
                </c:pt>
                <c:pt idx="30">
                  <c:v>7.6653571428571432</c:v>
                </c:pt>
                <c:pt idx="31">
                  <c:v>7.2773015873015874</c:v>
                </c:pt>
                <c:pt idx="32">
                  <c:v>6.8993253968253976</c:v>
                </c:pt>
                <c:pt idx="33">
                  <c:v>6.531428571428572</c:v>
                </c:pt>
                <c:pt idx="34">
                  <c:v>6.1736111111111116</c:v>
                </c:pt>
                <c:pt idx="35">
                  <c:v>5.8258730158730163</c:v>
                </c:pt>
                <c:pt idx="36">
                  <c:v>5.4882142857142862</c:v>
                </c:pt>
                <c:pt idx="37">
                  <c:v>5.1606349206349211</c:v>
                </c:pt>
                <c:pt idx="38">
                  <c:v>4.8431349206349212</c:v>
                </c:pt>
                <c:pt idx="39">
                  <c:v>4.5357142857142856</c:v>
                </c:pt>
                <c:pt idx="40">
                  <c:v>4.238373015873016</c:v>
                </c:pt>
                <c:pt idx="41">
                  <c:v>3.9511111111111115</c:v>
                </c:pt>
                <c:pt idx="42">
                  <c:v>3.6739285714285717</c:v>
                </c:pt>
                <c:pt idx="43">
                  <c:v>3.406825396825397</c:v>
                </c:pt>
                <c:pt idx="44">
                  <c:v>3.1498015873015874</c:v>
                </c:pt>
                <c:pt idx="45">
                  <c:v>2.902857142857143</c:v>
                </c:pt>
                <c:pt idx="46">
                  <c:v>2.6659920634920637</c:v>
                </c:pt>
                <c:pt idx="47">
                  <c:v>2.4392063492063492</c:v>
                </c:pt>
                <c:pt idx="48">
                  <c:v>2.2225000000000001</c:v>
                </c:pt>
                <c:pt idx="49">
                  <c:v>2.0158730158730158</c:v>
                </c:pt>
                <c:pt idx="50">
                  <c:v>1.8193253968253968</c:v>
                </c:pt>
                <c:pt idx="51">
                  <c:v>1.632857142857143</c:v>
                </c:pt>
                <c:pt idx="52">
                  <c:v>1.4564682539682541</c:v>
                </c:pt>
                <c:pt idx="53">
                  <c:v>1.2901587301587303</c:v>
                </c:pt>
                <c:pt idx="54">
                  <c:v>1.1339285714285714</c:v>
                </c:pt>
                <c:pt idx="55">
                  <c:v>0.98777777777777787</c:v>
                </c:pt>
                <c:pt idx="56">
                  <c:v>0.85170634920634924</c:v>
                </c:pt>
                <c:pt idx="57">
                  <c:v>0.72571428571428576</c:v>
                </c:pt>
                <c:pt idx="58">
                  <c:v>0.60980158730158729</c:v>
                </c:pt>
                <c:pt idx="59">
                  <c:v>0.50396825396825395</c:v>
                </c:pt>
                <c:pt idx="60">
                  <c:v>0.40821428571428575</c:v>
                </c:pt>
                <c:pt idx="61">
                  <c:v>0.32253968253968257</c:v>
                </c:pt>
                <c:pt idx="62">
                  <c:v>0.24694444444444447</c:v>
                </c:pt>
                <c:pt idx="63">
                  <c:v>0.18142857142857144</c:v>
                </c:pt>
                <c:pt idx="64">
                  <c:v>0.12599206349206349</c:v>
                </c:pt>
                <c:pt idx="65">
                  <c:v>8.0634920634920643E-2</c:v>
                </c:pt>
                <c:pt idx="66">
                  <c:v>4.535714285714286E-2</c:v>
                </c:pt>
                <c:pt idx="67">
                  <c:v>2.0158730158730161E-2</c:v>
                </c:pt>
                <c:pt idx="68">
                  <c:v>5.0396825396825402E-3</c:v>
                </c:pt>
                <c:pt idx="69">
                  <c:v>0</c:v>
                </c:pt>
                <c:pt idx="70">
                  <c:v>5.0396825396825402E-3</c:v>
                </c:pt>
                <c:pt idx="71">
                  <c:v>2.0158730158730161E-2</c:v>
                </c:pt>
                <c:pt idx="72">
                  <c:v>4.535714285714286E-2</c:v>
                </c:pt>
                <c:pt idx="73">
                  <c:v>8.0634920634920643E-2</c:v>
                </c:pt>
                <c:pt idx="74">
                  <c:v>0.12599206349206349</c:v>
                </c:pt>
                <c:pt idx="75">
                  <c:v>0.18142857142857144</c:v>
                </c:pt>
                <c:pt idx="76">
                  <c:v>0.24694444444444447</c:v>
                </c:pt>
                <c:pt idx="77">
                  <c:v>0.32253968253968257</c:v>
                </c:pt>
                <c:pt idx="78">
                  <c:v>0.40821428571428575</c:v>
                </c:pt>
                <c:pt idx="79">
                  <c:v>0.50396825396825395</c:v>
                </c:pt>
                <c:pt idx="80">
                  <c:v>0.60980158730158729</c:v>
                </c:pt>
                <c:pt idx="81">
                  <c:v>0.72571428571428576</c:v>
                </c:pt>
                <c:pt idx="82">
                  <c:v>0.85170634920634924</c:v>
                </c:pt>
                <c:pt idx="83">
                  <c:v>0.98777777777777787</c:v>
                </c:pt>
                <c:pt idx="84">
                  <c:v>1.1339285714285714</c:v>
                </c:pt>
                <c:pt idx="85">
                  <c:v>1.2901587301587303</c:v>
                </c:pt>
                <c:pt idx="86">
                  <c:v>1.4564682539682541</c:v>
                </c:pt>
                <c:pt idx="87">
                  <c:v>1.632857142857143</c:v>
                </c:pt>
                <c:pt idx="88">
                  <c:v>1.8193253968253968</c:v>
                </c:pt>
                <c:pt idx="89">
                  <c:v>2.0158730158730158</c:v>
                </c:pt>
                <c:pt idx="90">
                  <c:v>2.2225000000000001</c:v>
                </c:pt>
                <c:pt idx="91">
                  <c:v>2.4392063492063492</c:v>
                </c:pt>
                <c:pt idx="92">
                  <c:v>2.6659920634920637</c:v>
                </c:pt>
                <c:pt idx="93">
                  <c:v>2.902857142857143</c:v>
                </c:pt>
                <c:pt idx="94">
                  <c:v>3.1498015873015874</c:v>
                </c:pt>
                <c:pt idx="95">
                  <c:v>3.406825396825397</c:v>
                </c:pt>
                <c:pt idx="96">
                  <c:v>3.6739285714285717</c:v>
                </c:pt>
                <c:pt idx="97">
                  <c:v>3.9511111111111115</c:v>
                </c:pt>
                <c:pt idx="98">
                  <c:v>4.238373015873016</c:v>
                </c:pt>
                <c:pt idx="99">
                  <c:v>4.5357142857142856</c:v>
                </c:pt>
                <c:pt idx="100">
                  <c:v>4.8431349206349212</c:v>
                </c:pt>
                <c:pt idx="101">
                  <c:v>5.1606349206349211</c:v>
                </c:pt>
                <c:pt idx="102">
                  <c:v>5.4882142857142862</c:v>
                </c:pt>
                <c:pt idx="103">
                  <c:v>5.8258730158730163</c:v>
                </c:pt>
                <c:pt idx="104">
                  <c:v>6.1736111111111116</c:v>
                </c:pt>
                <c:pt idx="105">
                  <c:v>6.531428571428572</c:v>
                </c:pt>
                <c:pt idx="106">
                  <c:v>6.8993253968253976</c:v>
                </c:pt>
                <c:pt idx="107">
                  <c:v>7.2773015873015874</c:v>
                </c:pt>
                <c:pt idx="108">
                  <c:v>7.6653571428571432</c:v>
                </c:pt>
                <c:pt idx="109">
                  <c:v>8.0634920634920633</c:v>
                </c:pt>
                <c:pt idx="110">
                  <c:v>8.4717063492063502</c:v>
                </c:pt>
                <c:pt idx="111">
                  <c:v>8.89</c:v>
                </c:pt>
                <c:pt idx="112">
                  <c:v>9.318373015873016</c:v>
                </c:pt>
                <c:pt idx="113">
                  <c:v>9.7568253968253966</c:v>
                </c:pt>
                <c:pt idx="114">
                  <c:v>10.205357142857144</c:v>
                </c:pt>
                <c:pt idx="115">
                  <c:v>10.663968253968255</c:v>
                </c:pt>
                <c:pt idx="116">
                  <c:v>11.132658730158731</c:v>
                </c:pt>
                <c:pt idx="117">
                  <c:v>11.611428571428572</c:v>
                </c:pt>
                <c:pt idx="118">
                  <c:v>12.100277777777778</c:v>
                </c:pt>
                <c:pt idx="119">
                  <c:v>12.59920634920635</c:v>
                </c:pt>
                <c:pt idx="120">
                  <c:v>13.108214285714286</c:v>
                </c:pt>
                <c:pt idx="121">
                  <c:v>13.627301587301588</c:v>
                </c:pt>
                <c:pt idx="122">
                  <c:v>14.156468253968255</c:v>
                </c:pt>
                <c:pt idx="123">
                  <c:v>14.695714285714287</c:v>
                </c:pt>
                <c:pt idx="124">
                  <c:v>15.245039682539684</c:v>
                </c:pt>
                <c:pt idx="125">
                  <c:v>15.804444444444446</c:v>
                </c:pt>
                <c:pt idx="126">
                  <c:v>16.373928571428571</c:v>
                </c:pt>
                <c:pt idx="127">
                  <c:v>16.953492063492064</c:v>
                </c:pt>
                <c:pt idx="128">
                  <c:v>17.543134920634923</c:v>
                </c:pt>
                <c:pt idx="129">
                  <c:v>18.142857142857142</c:v>
                </c:pt>
                <c:pt idx="130">
                  <c:v>18.752658730158732</c:v>
                </c:pt>
                <c:pt idx="131">
                  <c:v>19.372539682539685</c:v>
                </c:pt>
                <c:pt idx="132">
                  <c:v>20.002500000000001</c:v>
                </c:pt>
                <c:pt idx="133">
                  <c:v>20.642539682539685</c:v>
                </c:pt>
                <c:pt idx="134">
                  <c:v>21.292658730158731</c:v>
                </c:pt>
                <c:pt idx="135">
                  <c:v>21.952857142857145</c:v>
                </c:pt>
                <c:pt idx="136">
                  <c:v>22.623134920634921</c:v>
                </c:pt>
                <c:pt idx="137">
                  <c:v>23.303492063492065</c:v>
                </c:pt>
                <c:pt idx="138">
                  <c:v>23.993928571428572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1D9-4E0C-8974-3AD2DEADA33B}"/>
            </c:ext>
          </c:extLst>
        </c:ser>
        <c:ser>
          <c:idx val="2"/>
          <c:order val="1"/>
          <c:tx>
            <c:strRef>
              <c:f>'3.5 m'!$M$5</c:f>
              <c:strCache>
                <c:ptCount val="1"/>
                <c:pt idx="0">
                  <c:v>Y-top (in)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'3.5 m'!$A$6:$A$144</c:f>
              <c:numCache>
                <c:formatCode>0</c:formatCode>
                <c:ptCount val="139"/>
                <c:pt idx="0">
                  <c:v>69</c:v>
                </c:pt>
                <c:pt idx="1">
                  <c:v>68</c:v>
                </c:pt>
                <c:pt idx="2">
                  <c:v>67</c:v>
                </c:pt>
                <c:pt idx="3">
                  <c:v>66</c:v>
                </c:pt>
                <c:pt idx="4">
                  <c:v>65</c:v>
                </c:pt>
                <c:pt idx="5">
                  <c:v>64</c:v>
                </c:pt>
                <c:pt idx="6">
                  <c:v>63</c:v>
                </c:pt>
                <c:pt idx="7">
                  <c:v>62</c:v>
                </c:pt>
                <c:pt idx="8">
                  <c:v>61</c:v>
                </c:pt>
                <c:pt idx="9">
                  <c:v>60</c:v>
                </c:pt>
                <c:pt idx="10">
                  <c:v>59</c:v>
                </c:pt>
                <c:pt idx="11">
                  <c:v>58</c:v>
                </c:pt>
                <c:pt idx="12">
                  <c:v>57</c:v>
                </c:pt>
                <c:pt idx="13">
                  <c:v>56</c:v>
                </c:pt>
                <c:pt idx="14">
                  <c:v>55</c:v>
                </c:pt>
                <c:pt idx="15">
                  <c:v>54</c:v>
                </c:pt>
                <c:pt idx="16">
                  <c:v>53</c:v>
                </c:pt>
                <c:pt idx="17">
                  <c:v>52</c:v>
                </c:pt>
                <c:pt idx="18">
                  <c:v>51</c:v>
                </c:pt>
                <c:pt idx="19">
                  <c:v>50</c:v>
                </c:pt>
                <c:pt idx="20">
                  <c:v>49</c:v>
                </c:pt>
                <c:pt idx="21">
                  <c:v>48</c:v>
                </c:pt>
                <c:pt idx="22">
                  <c:v>47</c:v>
                </c:pt>
                <c:pt idx="23">
                  <c:v>46</c:v>
                </c:pt>
                <c:pt idx="24">
                  <c:v>45</c:v>
                </c:pt>
                <c:pt idx="25">
                  <c:v>44</c:v>
                </c:pt>
                <c:pt idx="26">
                  <c:v>43</c:v>
                </c:pt>
                <c:pt idx="27">
                  <c:v>42</c:v>
                </c:pt>
                <c:pt idx="28">
                  <c:v>41</c:v>
                </c:pt>
                <c:pt idx="29">
                  <c:v>40</c:v>
                </c:pt>
                <c:pt idx="30">
                  <c:v>39</c:v>
                </c:pt>
                <c:pt idx="31">
                  <c:v>38</c:v>
                </c:pt>
                <c:pt idx="32">
                  <c:v>37</c:v>
                </c:pt>
                <c:pt idx="33">
                  <c:v>36</c:v>
                </c:pt>
                <c:pt idx="34">
                  <c:v>35</c:v>
                </c:pt>
                <c:pt idx="35">
                  <c:v>34</c:v>
                </c:pt>
                <c:pt idx="36">
                  <c:v>33</c:v>
                </c:pt>
                <c:pt idx="37">
                  <c:v>32</c:v>
                </c:pt>
                <c:pt idx="38">
                  <c:v>31</c:v>
                </c:pt>
                <c:pt idx="39">
                  <c:v>30</c:v>
                </c:pt>
                <c:pt idx="40">
                  <c:v>29</c:v>
                </c:pt>
                <c:pt idx="41">
                  <c:v>28</c:v>
                </c:pt>
                <c:pt idx="42">
                  <c:v>27</c:v>
                </c:pt>
                <c:pt idx="43">
                  <c:v>26</c:v>
                </c:pt>
                <c:pt idx="44">
                  <c:v>25</c:v>
                </c:pt>
                <c:pt idx="45">
                  <c:v>24</c:v>
                </c:pt>
                <c:pt idx="46">
                  <c:v>23</c:v>
                </c:pt>
                <c:pt idx="47">
                  <c:v>22</c:v>
                </c:pt>
                <c:pt idx="48">
                  <c:v>21</c:v>
                </c:pt>
                <c:pt idx="49">
                  <c:v>20</c:v>
                </c:pt>
                <c:pt idx="50">
                  <c:v>19</c:v>
                </c:pt>
                <c:pt idx="51">
                  <c:v>18</c:v>
                </c:pt>
                <c:pt idx="52">
                  <c:v>17</c:v>
                </c:pt>
                <c:pt idx="53">
                  <c:v>16</c:v>
                </c:pt>
                <c:pt idx="54">
                  <c:v>15</c:v>
                </c:pt>
                <c:pt idx="55">
                  <c:v>14</c:v>
                </c:pt>
                <c:pt idx="56">
                  <c:v>13</c:v>
                </c:pt>
                <c:pt idx="57">
                  <c:v>12</c:v>
                </c:pt>
                <c:pt idx="58">
                  <c:v>11</c:v>
                </c:pt>
                <c:pt idx="59">
                  <c:v>10</c:v>
                </c:pt>
                <c:pt idx="60">
                  <c:v>9</c:v>
                </c:pt>
                <c:pt idx="61">
                  <c:v>8</c:v>
                </c:pt>
                <c:pt idx="62">
                  <c:v>7</c:v>
                </c:pt>
                <c:pt idx="63">
                  <c:v>6</c:v>
                </c:pt>
                <c:pt idx="64">
                  <c:v>5</c:v>
                </c:pt>
                <c:pt idx="65">
                  <c:v>4</c:v>
                </c:pt>
                <c:pt idx="66">
                  <c:v>3</c:v>
                </c:pt>
                <c:pt idx="67">
                  <c:v>2</c:v>
                </c:pt>
                <c:pt idx="68">
                  <c:v>1</c:v>
                </c:pt>
                <c:pt idx="69">
                  <c:v>0</c:v>
                </c:pt>
                <c:pt idx="70">
                  <c:v>-1</c:v>
                </c:pt>
                <c:pt idx="71">
                  <c:v>-2</c:v>
                </c:pt>
                <c:pt idx="72">
                  <c:v>-3</c:v>
                </c:pt>
                <c:pt idx="73">
                  <c:v>-4</c:v>
                </c:pt>
                <c:pt idx="74">
                  <c:v>-5</c:v>
                </c:pt>
                <c:pt idx="75">
                  <c:v>-6</c:v>
                </c:pt>
                <c:pt idx="76">
                  <c:v>-7</c:v>
                </c:pt>
                <c:pt idx="77">
                  <c:v>-8</c:v>
                </c:pt>
                <c:pt idx="78">
                  <c:v>-9</c:v>
                </c:pt>
                <c:pt idx="79">
                  <c:v>-10</c:v>
                </c:pt>
                <c:pt idx="80">
                  <c:v>-11</c:v>
                </c:pt>
                <c:pt idx="81">
                  <c:v>-12</c:v>
                </c:pt>
                <c:pt idx="82">
                  <c:v>-13</c:v>
                </c:pt>
                <c:pt idx="83">
                  <c:v>-14</c:v>
                </c:pt>
                <c:pt idx="84">
                  <c:v>-15</c:v>
                </c:pt>
                <c:pt idx="85">
                  <c:v>-16</c:v>
                </c:pt>
                <c:pt idx="86">
                  <c:v>-17</c:v>
                </c:pt>
                <c:pt idx="87">
                  <c:v>-18</c:v>
                </c:pt>
                <c:pt idx="88">
                  <c:v>-19</c:v>
                </c:pt>
                <c:pt idx="89">
                  <c:v>-20</c:v>
                </c:pt>
                <c:pt idx="90">
                  <c:v>-21</c:v>
                </c:pt>
                <c:pt idx="91">
                  <c:v>-22</c:v>
                </c:pt>
                <c:pt idx="92">
                  <c:v>-23</c:v>
                </c:pt>
                <c:pt idx="93">
                  <c:v>-24</c:v>
                </c:pt>
                <c:pt idx="94">
                  <c:v>-25</c:v>
                </c:pt>
                <c:pt idx="95">
                  <c:v>-26</c:v>
                </c:pt>
                <c:pt idx="96">
                  <c:v>-27</c:v>
                </c:pt>
                <c:pt idx="97">
                  <c:v>-28</c:v>
                </c:pt>
                <c:pt idx="98">
                  <c:v>-29</c:v>
                </c:pt>
                <c:pt idx="99">
                  <c:v>-30</c:v>
                </c:pt>
                <c:pt idx="100">
                  <c:v>-31</c:v>
                </c:pt>
                <c:pt idx="101">
                  <c:v>-32</c:v>
                </c:pt>
                <c:pt idx="102">
                  <c:v>-33</c:v>
                </c:pt>
                <c:pt idx="103">
                  <c:v>-34</c:v>
                </c:pt>
                <c:pt idx="104">
                  <c:v>-35</c:v>
                </c:pt>
                <c:pt idx="105">
                  <c:v>-36</c:v>
                </c:pt>
                <c:pt idx="106">
                  <c:v>-37</c:v>
                </c:pt>
                <c:pt idx="107">
                  <c:v>-38</c:v>
                </c:pt>
                <c:pt idx="108">
                  <c:v>-39</c:v>
                </c:pt>
                <c:pt idx="109">
                  <c:v>-40</c:v>
                </c:pt>
                <c:pt idx="110">
                  <c:v>-41</c:v>
                </c:pt>
                <c:pt idx="111">
                  <c:v>-42</c:v>
                </c:pt>
                <c:pt idx="112">
                  <c:v>-43</c:v>
                </c:pt>
                <c:pt idx="113">
                  <c:v>-44</c:v>
                </c:pt>
                <c:pt idx="114">
                  <c:v>-45</c:v>
                </c:pt>
                <c:pt idx="115">
                  <c:v>-46</c:v>
                </c:pt>
                <c:pt idx="116">
                  <c:v>-47</c:v>
                </c:pt>
                <c:pt idx="117">
                  <c:v>-48</c:v>
                </c:pt>
                <c:pt idx="118">
                  <c:v>-49</c:v>
                </c:pt>
                <c:pt idx="119">
                  <c:v>-50</c:v>
                </c:pt>
                <c:pt idx="120">
                  <c:v>-51</c:v>
                </c:pt>
                <c:pt idx="121">
                  <c:v>-52</c:v>
                </c:pt>
                <c:pt idx="122">
                  <c:v>-53</c:v>
                </c:pt>
                <c:pt idx="123">
                  <c:v>-54</c:v>
                </c:pt>
                <c:pt idx="124">
                  <c:v>-55</c:v>
                </c:pt>
                <c:pt idx="125">
                  <c:v>-56</c:v>
                </c:pt>
                <c:pt idx="126">
                  <c:v>-57</c:v>
                </c:pt>
                <c:pt idx="127">
                  <c:v>-58</c:v>
                </c:pt>
                <c:pt idx="128">
                  <c:v>-59</c:v>
                </c:pt>
                <c:pt idx="129">
                  <c:v>-60</c:v>
                </c:pt>
                <c:pt idx="130">
                  <c:v>-61</c:v>
                </c:pt>
                <c:pt idx="131">
                  <c:v>-62</c:v>
                </c:pt>
                <c:pt idx="132">
                  <c:v>-63</c:v>
                </c:pt>
                <c:pt idx="133">
                  <c:v>-64</c:v>
                </c:pt>
                <c:pt idx="134">
                  <c:v>-65</c:v>
                </c:pt>
                <c:pt idx="135">
                  <c:v>-66</c:v>
                </c:pt>
                <c:pt idx="136">
                  <c:v>-67</c:v>
                </c:pt>
                <c:pt idx="137">
                  <c:v>-68</c:v>
                </c:pt>
                <c:pt idx="138">
                  <c:v>-69</c:v>
                </c:pt>
              </c:numCache>
            </c:numRef>
          </c:xVal>
          <c:yVal>
            <c:numRef>
              <c:f>'3.5 m'!$M$6:$M$144</c:f>
              <c:numCache>
                <c:formatCode>0.00</c:formatCode>
                <c:ptCount val="139"/>
                <c:pt idx="0">
                  <c:v>25.493928571428572</c:v>
                </c:pt>
                <c:pt idx="1">
                  <c:v>24.803492063492065</c:v>
                </c:pt>
                <c:pt idx="2">
                  <c:v>24.123134920634921</c:v>
                </c:pt>
                <c:pt idx="3">
                  <c:v>23.452857142857145</c:v>
                </c:pt>
                <c:pt idx="4">
                  <c:v>22.792658730158731</c:v>
                </c:pt>
                <c:pt idx="5">
                  <c:v>22.142539682539685</c:v>
                </c:pt>
                <c:pt idx="6">
                  <c:v>21.502500000000001</c:v>
                </c:pt>
                <c:pt idx="7">
                  <c:v>20.872539682539685</c:v>
                </c:pt>
                <c:pt idx="8">
                  <c:v>20.252658730158732</c:v>
                </c:pt>
                <c:pt idx="9">
                  <c:v>19.642857142857142</c:v>
                </c:pt>
                <c:pt idx="10">
                  <c:v>19.043134920634923</c:v>
                </c:pt>
                <c:pt idx="11">
                  <c:v>18.453492063492064</c:v>
                </c:pt>
                <c:pt idx="12">
                  <c:v>17.873928571428571</c:v>
                </c:pt>
                <c:pt idx="13">
                  <c:v>17.304444444444446</c:v>
                </c:pt>
                <c:pt idx="14">
                  <c:v>16.745039682539684</c:v>
                </c:pt>
                <c:pt idx="15">
                  <c:v>16.195714285714288</c:v>
                </c:pt>
                <c:pt idx="16">
                  <c:v>15.656468253968255</c:v>
                </c:pt>
                <c:pt idx="17">
                  <c:v>15.127301587301588</c:v>
                </c:pt>
                <c:pt idx="18">
                  <c:v>14.608214285714286</c:v>
                </c:pt>
                <c:pt idx="19">
                  <c:v>14.09920634920635</c:v>
                </c:pt>
                <c:pt idx="20">
                  <c:v>13.600277777777778</c:v>
                </c:pt>
                <c:pt idx="21">
                  <c:v>13.111428571428572</c:v>
                </c:pt>
                <c:pt idx="22">
                  <c:v>12.632658730158731</c:v>
                </c:pt>
                <c:pt idx="23">
                  <c:v>12.163968253968255</c:v>
                </c:pt>
                <c:pt idx="24">
                  <c:v>11.705357142857144</c:v>
                </c:pt>
                <c:pt idx="25">
                  <c:v>11.256825396825397</c:v>
                </c:pt>
                <c:pt idx="26">
                  <c:v>10.818373015873016</c:v>
                </c:pt>
                <c:pt idx="27">
                  <c:v>10.39</c:v>
                </c:pt>
                <c:pt idx="28">
                  <c:v>9.9717063492063502</c:v>
                </c:pt>
                <c:pt idx="29">
                  <c:v>9.5634920634920633</c:v>
                </c:pt>
                <c:pt idx="30">
                  <c:v>9.1653571428571432</c:v>
                </c:pt>
                <c:pt idx="31">
                  <c:v>8.7773015873015865</c:v>
                </c:pt>
                <c:pt idx="32">
                  <c:v>8.3993253968253967</c:v>
                </c:pt>
                <c:pt idx="33">
                  <c:v>8.031428571428572</c:v>
                </c:pt>
                <c:pt idx="34">
                  <c:v>7.6736111111111116</c:v>
                </c:pt>
                <c:pt idx="35">
                  <c:v>7.3258730158730163</c:v>
                </c:pt>
                <c:pt idx="36">
                  <c:v>6.9882142857142862</c:v>
                </c:pt>
                <c:pt idx="37">
                  <c:v>6.6606349206349211</c:v>
                </c:pt>
                <c:pt idx="38">
                  <c:v>6.3431349206349212</c:v>
                </c:pt>
                <c:pt idx="39">
                  <c:v>6.0357142857142856</c:v>
                </c:pt>
                <c:pt idx="40">
                  <c:v>5.738373015873016</c:v>
                </c:pt>
                <c:pt idx="41">
                  <c:v>5.4511111111111115</c:v>
                </c:pt>
                <c:pt idx="42">
                  <c:v>5.1739285714285721</c:v>
                </c:pt>
                <c:pt idx="43">
                  <c:v>4.906825396825397</c:v>
                </c:pt>
                <c:pt idx="44">
                  <c:v>4.649801587301587</c:v>
                </c:pt>
                <c:pt idx="45">
                  <c:v>4.402857142857143</c:v>
                </c:pt>
                <c:pt idx="46">
                  <c:v>4.1659920634920642</c:v>
                </c:pt>
                <c:pt idx="47">
                  <c:v>3.9392063492063492</c:v>
                </c:pt>
                <c:pt idx="48">
                  <c:v>3.7225000000000001</c:v>
                </c:pt>
                <c:pt idx="49">
                  <c:v>3.5158730158730158</c:v>
                </c:pt>
                <c:pt idx="50">
                  <c:v>3.3193253968253966</c:v>
                </c:pt>
                <c:pt idx="51">
                  <c:v>3.132857142857143</c:v>
                </c:pt>
                <c:pt idx="52">
                  <c:v>2.9564682539682541</c:v>
                </c:pt>
                <c:pt idx="53">
                  <c:v>2.7901587301587303</c:v>
                </c:pt>
                <c:pt idx="54">
                  <c:v>2.6339285714285712</c:v>
                </c:pt>
                <c:pt idx="55">
                  <c:v>2.4877777777777776</c:v>
                </c:pt>
                <c:pt idx="56">
                  <c:v>2.3517063492063492</c:v>
                </c:pt>
                <c:pt idx="57">
                  <c:v>2.225714285714286</c:v>
                </c:pt>
                <c:pt idx="58">
                  <c:v>2.1098015873015874</c:v>
                </c:pt>
                <c:pt idx="59">
                  <c:v>2.003968253968254</c:v>
                </c:pt>
                <c:pt idx="60">
                  <c:v>1.9082142857142856</c:v>
                </c:pt>
                <c:pt idx="61">
                  <c:v>1.8225396825396825</c:v>
                </c:pt>
                <c:pt idx="62">
                  <c:v>1.7469444444444444</c:v>
                </c:pt>
                <c:pt idx="63">
                  <c:v>1.6814285714285715</c:v>
                </c:pt>
                <c:pt idx="64">
                  <c:v>1.6259920634920635</c:v>
                </c:pt>
                <c:pt idx="65">
                  <c:v>1.5806349206349206</c:v>
                </c:pt>
                <c:pt idx="66">
                  <c:v>1.5453571428571429</c:v>
                </c:pt>
                <c:pt idx="67">
                  <c:v>1.5201587301587303</c:v>
                </c:pt>
                <c:pt idx="68">
                  <c:v>1.5050396825396826</c:v>
                </c:pt>
                <c:pt idx="69">
                  <c:v>1.5</c:v>
                </c:pt>
                <c:pt idx="70">
                  <c:v>1.5050396825396826</c:v>
                </c:pt>
                <c:pt idx="71">
                  <c:v>1.5201587301587303</c:v>
                </c:pt>
                <c:pt idx="72">
                  <c:v>1.5453571428571429</c:v>
                </c:pt>
                <c:pt idx="73">
                  <c:v>1.5806349206349206</c:v>
                </c:pt>
                <c:pt idx="74">
                  <c:v>1.6259920634920635</c:v>
                </c:pt>
                <c:pt idx="75">
                  <c:v>1.6814285714285715</c:v>
                </c:pt>
                <c:pt idx="76">
                  <c:v>1.7469444444444444</c:v>
                </c:pt>
                <c:pt idx="77">
                  <c:v>1.8225396825396825</c:v>
                </c:pt>
                <c:pt idx="78">
                  <c:v>1.9082142857142856</c:v>
                </c:pt>
                <c:pt idx="79">
                  <c:v>2.003968253968254</c:v>
                </c:pt>
                <c:pt idx="80">
                  <c:v>2.1098015873015874</c:v>
                </c:pt>
                <c:pt idx="81">
                  <c:v>2.225714285714286</c:v>
                </c:pt>
                <c:pt idx="82">
                  <c:v>2.3517063492063492</c:v>
                </c:pt>
                <c:pt idx="83">
                  <c:v>2.4877777777777776</c:v>
                </c:pt>
                <c:pt idx="84">
                  <c:v>2.6339285714285712</c:v>
                </c:pt>
                <c:pt idx="85">
                  <c:v>2.7901587301587303</c:v>
                </c:pt>
                <c:pt idx="86">
                  <c:v>2.9564682539682541</c:v>
                </c:pt>
                <c:pt idx="87">
                  <c:v>3.132857142857143</c:v>
                </c:pt>
                <c:pt idx="88">
                  <c:v>3.3193253968253966</c:v>
                </c:pt>
                <c:pt idx="89">
                  <c:v>3.5158730158730158</c:v>
                </c:pt>
                <c:pt idx="90">
                  <c:v>3.7225000000000001</c:v>
                </c:pt>
                <c:pt idx="91">
                  <c:v>3.9392063492063492</c:v>
                </c:pt>
                <c:pt idx="92">
                  <c:v>4.1659920634920642</c:v>
                </c:pt>
                <c:pt idx="93">
                  <c:v>4.402857142857143</c:v>
                </c:pt>
                <c:pt idx="94">
                  <c:v>4.649801587301587</c:v>
                </c:pt>
                <c:pt idx="95">
                  <c:v>4.906825396825397</c:v>
                </c:pt>
                <c:pt idx="96">
                  <c:v>5.1739285714285721</c:v>
                </c:pt>
                <c:pt idx="97">
                  <c:v>5.4511111111111115</c:v>
                </c:pt>
                <c:pt idx="98">
                  <c:v>5.738373015873016</c:v>
                </c:pt>
                <c:pt idx="99">
                  <c:v>6.0357142857142856</c:v>
                </c:pt>
                <c:pt idx="100">
                  <c:v>6.3431349206349212</c:v>
                </c:pt>
                <c:pt idx="101">
                  <c:v>6.6606349206349211</c:v>
                </c:pt>
                <c:pt idx="102">
                  <c:v>6.9882142857142862</c:v>
                </c:pt>
                <c:pt idx="103">
                  <c:v>7.3258730158730163</c:v>
                </c:pt>
                <c:pt idx="104">
                  <c:v>7.6736111111111116</c:v>
                </c:pt>
                <c:pt idx="105">
                  <c:v>8.031428571428572</c:v>
                </c:pt>
                <c:pt idx="106">
                  <c:v>8.3993253968253967</c:v>
                </c:pt>
                <c:pt idx="107">
                  <c:v>8.7773015873015865</c:v>
                </c:pt>
                <c:pt idx="108">
                  <c:v>9.1653571428571432</c:v>
                </c:pt>
                <c:pt idx="109">
                  <c:v>9.5634920634920633</c:v>
                </c:pt>
                <c:pt idx="110">
                  <c:v>9.9717063492063502</c:v>
                </c:pt>
                <c:pt idx="111">
                  <c:v>10.39</c:v>
                </c:pt>
                <c:pt idx="112">
                  <c:v>10.818373015873016</c:v>
                </c:pt>
                <c:pt idx="113">
                  <c:v>11.256825396825397</c:v>
                </c:pt>
                <c:pt idx="114">
                  <c:v>11.705357142857144</c:v>
                </c:pt>
                <c:pt idx="115">
                  <c:v>12.163968253968255</c:v>
                </c:pt>
                <c:pt idx="116">
                  <c:v>12.632658730158731</c:v>
                </c:pt>
                <c:pt idx="117">
                  <c:v>13.111428571428572</c:v>
                </c:pt>
                <c:pt idx="118">
                  <c:v>13.600277777777778</c:v>
                </c:pt>
                <c:pt idx="119">
                  <c:v>14.09920634920635</c:v>
                </c:pt>
                <c:pt idx="120">
                  <c:v>14.608214285714286</c:v>
                </c:pt>
                <c:pt idx="121">
                  <c:v>15.127301587301588</c:v>
                </c:pt>
                <c:pt idx="122">
                  <c:v>15.656468253968255</c:v>
                </c:pt>
                <c:pt idx="123">
                  <c:v>16.195714285714288</c:v>
                </c:pt>
                <c:pt idx="124">
                  <c:v>16.745039682539684</c:v>
                </c:pt>
                <c:pt idx="125">
                  <c:v>17.304444444444446</c:v>
                </c:pt>
                <c:pt idx="126">
                  <c:v>17.873928571428571</c:v>
                </c:pt>
                <c:pt idx="127">
                  <c:v>18.453492063492064</c:v>
                </c:pt>
                <c:pt idx="128">
                  <c:v>19.043134920634923</c:v>
                </c:pt>
                <c:pt idx="129">
                  <c:v>19.642857142857142</c:v>
                </c:pt>
                <c:pt idx="130">
                  <c:v>20.252658730158732</c:v>
                </c:pt>
                <c:pt idx="131">
                  <c:v>20.872539682539685</c:v>
                </c:pt>
                <c:pt idx="132">
                  <c:v>21.502500000000001</c:v>
                </c:pt>
                <c:pt idx="133">
                  <c:v>22.142539682539685</c:v>
                </c:pt>
                <c:pt idx="134">
                  <c:v>22.792658730158731</c:v>
                </c:pt>
                <c:pt idx="135">
                  <c:v>23.452857142857145</c:v>
                </c:pt>
                <c:pt idx="136">
                  <c:v>24.123134920634921</c:v>
                </c:pt>
                <c:pt idx="137">
                  <c:v>24.803492063492065</c:v>
                </c:pt>
                <c:pt idx="138">
                  <c:v>25.493928571428572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1D9-4E0C-8974-3AD2DEADA33B}"/>
            </c:ext>
          </c:extLst>
        </c:ser>
        <c:ser>
          <c:idx val="5"/>
          <c:order val="5"/>
          <c:tx>
            <c:v>feed top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1D9-4E0C-8974-3AD2DEADA33B}"/>
              </c:ext>
            </c:extLst>
          </c:dPt>
          <c:xVal>
            <c:numRef>
              <c:f>'3.5 m'!$K$20:$K$21</c:f>
              <c:numCache>
                <c:formatCode>General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xVal>
          <c:yVal>
            <c:numRef>
              <c:f>'3.5 m'!$L$20:$L$21</c:f>
              <c:numCache>
                <c:formatCode>0.00</c:formatCode>
                <c:ptCount val="2"/>
                <c:pt idx="0">
                  <c:v>51.976004702537182</c:v>
                </c:pt>
                <c:pt idx="1">
                  <c:v>51.976004702537182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1D9-4E0C-8974-3AD2DEADA33B}"/>
            </c:ext>
          </c:extLst>
        </c:ser>
        <c:ser>
          <c:idx val="6"/>
          <c:order val="6"/>
          <c:tx>
            <c:v>feed bottom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'3.5 m'!$K$18:$K$19</c:f>
              <c:numCache>
                <c:formatCode>General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xVal>
          <c:yVal>
            <c:numRef>
              <c:f>'3.5 m'!$L$18:$L$19</c:f>
              <c:numCache>
                <c:formatCode>0.00</c:formatCode>
                <c:ptCount val="2"/>
                <c:pt idx="0">
                  <c:v>50.476004702537182</c:v>
                </c:pt>
                <c:pt idx="1">
                  <c:v>50.476004702537182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1D9-4E0C-8974-3AD2DEADA33B}"/>
            </c:ext>
          </c:extLst>
        </c:ser>
        <c:ser>
          <c:idx val="7"/>
          <c:order val="7"/>
          <c:tx>
            <c:v>feedR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'3.5 m'!$K$24:$K$25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'3.5 m'!$L$24:$L$25</c:f>
              <c:numCache>
                <c:formatCode>0.00</c:formatCode>
                <c:ptCount val="2"/>
                <c:pt idx="0">
                  <c:v>50.476004702537182</c:v>
                </c:pt>
                <c:pt idx="1">
                  <c:v>51.976004702537182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1D9-4E0C-8974-3AD2DEADA33B}"/>
            </c:ext>
          </c:extLst>
        </c:ser>
        <c:ser>
          <c:idx val="8"/>
          <c:order val="8"/>
          <c:tx>
            <c:v>feedL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'3.5 m'!$K$22:$K$23</c:f>
              <c:numCache>
                <c:formatCode>General</c:formatCode>
                <c:ptCount val="2"/>
                <c:pt idx="0">
                  <c:v>-3</c:v>
                </c:pt>
                <c:pt idx="1">
                  <c:v>-3</c:v>
                </c:pt>
              </c:numCache>
            </c:numRef>
          </c:xVal>
          <c:yVal>
            <c:numRef>
              <c:f>'3.5 m'!$L$22:$L$23</c:f>
              <c:numCache>
                <c:formatCode>0.00</c:formatCode>
                <c:ptCount val="2"/>
                <c:pt idx="0">
                  <c:v>50.476004702537182</c:v>
                </c:pt>
                <c:pt idx="1">
                  <c:v>51.976004702537182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1D9-4E0C-8974-3AD2DEADA33B}"/>
            </c:ext>
          </c:extLst>
        </c:ser>
        <c:ser>
          <c:idx val="9"/>
          <c:order val="9"/>
          <c:tx>
            <c:v>Rpole</c:v>
          </c:tx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'3.5 m'!$K$49:$K$50</c:f>
              <c:numCache>
                <c:formatCode>General</c:formatCode>
                <c:ptCount val="2"/>
                <c:pt idx="0">
                  <c:v>3.75</c:v>
                </c:pt>
                <c:pt idx="1">
                  <c:v>3.75</c:v>
                </c:pt>
              </c:numCache>
            </c:numRef>
          </c:xVal>
          <c:yVal>
            <c:numRef>
              <c:f>'3.5 m'!$L$49:$L$50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51.476004702537182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1D9-4E0C-8974-3AD2DEADA33B}"/>
            </c:ext>
          </c:extLst>
        </c:ser>
        <c:ser>
          <c:idx val="10"/>
          <c:order val="10"/>
          <c:tx>
            <c:v>Lpole</c:v>
          </c:tx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'3.5 m'!$K$47:$K$48</c:f>
              <c:numCache>
                <c:formatCode>General</c:formatCode>
                <c:ptCount val="2"/>
                <c:pt idx="0">
                  <c:v>-3.75</c:v>
                </c:pt>
                <c:pt idx="1">
                  <c:v>-3.75</c:v>
                </c:pt>
              </c:numCache>
            </c:numRef>
          </c:xVal>
          <c:yVal>
            <c:numRef>
              <c:f>'3.5 m'!$L$47:$L$48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51.476004702537182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1D9-4E0C-8974-3AD2DEADA33B}"/>
            </c:ext>
          </c:extLst>
        </c:ser>
        <c:ser>
          <c:idx val="11"/>
          <c:order val="11"/>
          <c:tx>
            <c:v>ring</c:v>
          </c:tx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'3.5 m'!$K$52:$K$53</c:f>
              <c:numCache>
                <c:formatCode>General</c:formatCode>
                <c:ptCount val="2"/>
                <c:pt idx="0">
                  <c:v>-4.5</c:v>
                </c:pt>
                <c:pt idx="1">
                  <c:v>4.5</c:v>
                </c:pt>
              </c:numCache>
            </c:numRef>
          </c:xVal>
          <c:yVal>
            <c:numRef>
              <c:f>'3.5 m'!$L$52:$L$53</c:f>
              <c:numCache>
                <c:formatCode>0.00</c:formatCode>
                <c:ptCount val="2"/>
                <c:pt idx="0">
                  <c:v>13.5</c:v>
                </c:pt>
                <c:pt idx="1">
                  <c:v>13.5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1D9-4E0C-8974-3AD2DEADA33B}"/>
            </c:ext>
          </c:extLst>
        </c:ser>
        <c:ser>
          <c:idx val="12"/>
          <c:order val="12"/>
          <c:tx>
            <c:v>supportL</c:v>
          </c:tx>
          <c:spPr>
            <a:ln w="444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'3.5 m'!$K$55:$K$56</c:f>
              <c:numCache>
                <c:formatCode>General</c:formatCode>
                <c:ptCount val="2"/>
                <c:pt idx="0">
                  <c:v>-4.5</c:v>
                </c:pt>
                <c:pt idx="1">
                  <c:v>-28</c:v>
                </c:pt>
              </c:numCache>
            </c:numRef>
          </c:xVal>
          <c:yVal>
            <c:numRef>
              <c:f>'3.5 m'!$L$55:$L$56</c:f>
              <c:numCache>
                <c:formatCode>0.00</c:formatCode>
                <c:ptCount val="2"/>
                <c:pt idx="0">
                  <c:v>13.5</c:v>
                </c:pt>
                <c:pt idx="1">
                  <c:v>4.9511111111111115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1D9-4E0C-8974-3AD2DEADA33B}"/>
            </c:ext>
          </c:extLst>
        </c:ser>
        <c:ser>
          <c:idx val="13"/>
          <c:order val="13"/>
          <c:tx>
            <c:v>supportR</c:v>
          </c:tx>
          <c:spPr>
            <a:ln w="444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'3.5 m'!$K$57:$K$58</c:f>
              <c:numCache>
                <c:formatCode>General</c:formatCode>
                <c:ptCount val="2"/>
                <c:pt idx="0">
                  <c:v>4.5</c:v>
                </c:pt>
                <c:pt idx="1">
                  <c:v>28</c:v>
                </c:pt>
              </c:numCache>
            </c:numRef>
          </c:xVal>
          <c:yVal>
            <c:numRef>
              <c:f>'3.5 m'!$L$57:$L$58</c:f>
              <c:numCache>
                <c:formatCode>0.00</c:formatCode>
                <c:ptCount val="2"/>
                <c:pt idx="0">
                  <c:v>13.5</c:v>
                </c:pt>
                <c:pt idx="1">
                  <c:v>4.9511111111111115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A1D9-4E0C-8974-3AD2DEADA33B}"/>
            </c:ext>
          </c:extLst>
        </c:ser>
        <c:ser>
          <c:idx val="20"/>
          <c:order val="20"/>
          <c:tx>
            <c:v>base</c:v>
          </c:tx>
          <c:spPr>
            <a:ln w="635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'3.5 m'!$K$60:$K$61</c:f>
              <c:numCache>
                <c:formatCode>General</c:formatCode>
                <c:ptCount val="2"/>
                <c:pt idx="0">
                  <c:v>-12</c:v>
                </c:pt>
                <c:pt idx="1">
                  <c:v>12</c:v>
                </c:pt>
              </c:numCache>
            </c:numRef>
          </c:xVal>
          <c:yVal>
            <c:numRef>
              <c:f>'3.5 m'!$L$60:$L$61</c:f>
              <c:numCache>
                <c:formatCode>General</c:formatCode>
                <c:ptCount val="2"/>
                <c:pt idx="0">
                  <c:v>-0.75</c:v>
                </c:pt>
                <c:pt idx="1">
                  <c:v>-0.75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A1D9-4E0C-8974-3AD2DEADA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267791"/>
        <c:axId val="1936264431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v>Feed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square"/>
                  <c:size val="23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'3.5 m'!$K$16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'3.5 m'!$L$16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50.476004702537182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E-A1D9-4E0C-8974-3AD2DEADA33B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Rside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m'!$K$32:$K$33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69</c:v>
                      </c:pt>
                      <c:pt idx="1">
                        <c:v>69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m'!$L$32:$L$33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23.993928571428572</c:v>
                      </c:pt>
                      <c:pt idx="1">
                        <c:v>25.493928571428572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A1D9-4E0C-8974-3AD2DEADA33B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LSide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m'!$K$34:$K$35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-69</c:v>
                      </c:pt>
                      <c:pt idx="1">
                        <c:v>-69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m'!$L$34:$L$35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23.993928571428572</c:v>
                      </c:pt>
                      <c:pt idx="1">
                        <c:v>25.493928571428572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A1D9-4E0C-8974-3AD2DEADA33B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v>side1L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m'!$K$29:$K$30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-54</c:v>
                      </c:pt>
                      <c:pt idx="1">
                        <c:v>-54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m'!$L$29:$L$30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14.695714285714287</c:v>
                      </c:pt>
                      <c:pt idx="1">
                        <c:v>16.195714285714288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A1D9-4E0C-8974-3AD2DEADA33B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v>side1R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m'!$K$27:$K$28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54</c:v>
                      </c:pt>
                      <c:pt idx="1">
                        <c:v>54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m'!$L$27:$L$28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14.695714285714287</c:v>
                      </c:pt>
                      <c:pt idx="1">
                        <c:v>16.195714285714288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A1D9-4E0C-8974-3AD2DEADA33B}"/>
                  </c:ext>
                </c:extLst>
              </c15:ser>
            </c15:filteredScatterSeries>
            <c15:filteredScatterSeries>
              <c15:ser>
                <c:idx val="16"/>
                <c:order val="16"/>
                <c:tx>
                  <c:v>side3L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m'!$K$39:$K$40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-50</c:v>
                      </c:pt>
                      <c:pt idx="1">
                        <c:v>-50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m'!$L$39:$L$40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12.59920634920635</c:v>
                      </c:pt>
                      <c:pt idx="1">
                        <c:v>14.09920634920635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A1D9-4E0C-8974-3AD2DEADA33B}"/>
                  </c:ext>
                </c:extLst>
              </c15:ser>
            </c15:filteredScatterSeries>
            <c15:filteredScatterSeries>
              <c15:ser>
                <c:idx val="17"/>
                <c:order val="17"/>
                <c:tx>
                  <c:v>side3R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m'!$K$37:$K$38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50</c:v>
                      </c:pt>
                      <c:pt idx="1">
                        <c:v>50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m'!$L$37:$L$38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12.59920634920635</c:v>
                      </c:pt>
                      <c:pt idx="1">
                        <c:v>14.09920634920635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A1D9-4E0C-8974-3AD2DEADA33B}"/>
                  </c:ext>
                </c:extLst>
              </c15:ser>
            </c15:filteredScatterSeries>
            <c15:filteredScatterSeries>
              <c15:ser>
                <c:idx val="18"/>
                <c:order val="18"/>
                <c:tx>
                  <c:v>side4L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m'!$K$44:$K$45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-6</c:v>
                      </c:pt>
                      <c:pt idx="1">
                        <c:v>-6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m'!$L$44:$L$45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0.18142857142857144</c:v>
                      </c:pt>
                      <c:pt idx="1">
                        <c:v>1.6814285714285715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A1D9-4E0C-8974-3AD2DEADA33B}"/>
                  </c:ext>
                </c:extLst>
              </c15:ser>
            </c15:filteredScatterSeries>
            <c15:filteredScatterSeries>
              <c15:ser>
                <c:idx val="19"/>
                <c:order val="19"/>
                <c:tx>
                  <c:v>side4R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m'!$K$42:$K$43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6</c:v>
                      </c:pt>
                      <c:pt idx="1">
                        <c:v>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m'!$L$42:$L$43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0.18142857142857144</c:v>
                      </c:pt>
                      <c:pt idx="1">
                        <c:v>1.6814285714285715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A1D9-4E0C-8974-3AD2DEADA33B}"/>
                  </c:ext>
                </c:extLst>
              </c15:ser>
            </c15:filteredScatterSeries>
          </c:ext>
        </c:extLst>
      </c:scatterChart>
      <c:valAx>
        <c:axId val="1936267791"/>
        <c:scaling>
          <c:orientation val="minMax"/>
          <c:max val="70"/>
          <c:min val="-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264431"/>
        <c:crosses val="autoZero"/>
        <c:crossBetween val="midCat"/>
        <c:majorUnit val="5"/>
      </c:valAx>
      <c:valAx>
        <c:axId val="1936264431"/>
        <c:scaling>
          <c:orientation val="minMax"/>
          <c:max val="7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267791"/>
        <c:crosses val="autoZero"/>
        <c:crossBetween val="midCat"/>
        <c:majorUnit val="5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28573</xdr:colOff>
      <xdr:row>16</xdr:row>
      <xdr:rowOff>57150</xdr:rowOff>
    </xdr:from>
    <xdr:to>
      <xdr:col>17</xdr:col>
      <xdr:colOff>200025</xdr:colOff>
      <xdr:row>41</xdr:row>
      <xdr:rowOff>85726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92D7682-F2B2-41E9-A380-1E52DC55D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28573</xdr:colOff>
      <xdr:row>16</xdr:row>
      <xdr:rowOff>57150</xdr:rowOff>
    </xdr:from>
    <xdr:to>
      <xdr:col>17</xdr:col>
      <xdr:colOff>200025</xdr:colOff>
      <xdr:row>41</xdr:row>
      <xdr:rowOff>85726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301659-9743-4E35-A180-9C59F94D7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28573</xdr:colOff>
      <xdr:row>16</xdr:row>
      <xdr:rowOff>57150</xdr:rowOff>
    </xdr:from>
    <xdr:to>
      <xdr:col>17</xdr:col>
      <xdr:colOff>200025</xdr:colOff>
      <xdr:row>41</xdr:row>
      <xdr:rowOff>85726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EAE4E1F-5F26-4C50-AB1C-69E6B7D2B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978F-1F90-435D-BD1D-A8A04626CA02}">
  <dimension ref="A1:X110"/>
  <sheetViews>
    <sheetView tabSelected="1" zoomScaleNormal="100" workbookViewId="0">
      <selection activeCell="B7" sqref="B7"/>
    </sheetView>
  </sheetViews>
  <sheetFormatPr defaultRowHeight="15" x14ac:dyDescent="0.25"/>
  <cols>
    <col min="1" max="1" width="15.5703125" customWidth="1"/>
    <col min="2" max="2" width="9.85546875" customWidth="1"/>
    <col min="3" max="3" width="14.5703125" bestFit="1" customWidth="1"/>
    <col min="4" max="4" width="9.42578125" bestFit="1" customWidth="1"/>
    <col min="5" max="5" width="13.28515625" customWidth="1"/>
    <col min="6" max="6" width="2.42578125" customWidth="1"/>
    <col min="7" max="7" width="25.140625" customWidth="1"/>
    <col min="8" max="8" width="11.7109375" bestFit="1" customWidth="1"/>
    <col min="9" max="9" width="4.42578125" customWidth="1"/>
    <col min="10" max="10" width="14.42578125" customWidth="1"/>
    <col min="12" max="12" width="11.28515625" bestFit="1" customWidth="1"/>
    <col min="23" max="23" width="7.28515625" bestFit="1" customWidth="1"/>
  </cols>
  <sheetData>
    <row r="1" spans="1:24" x14ac:dyDescent="0.25">
      <c r="A1" s="1" t="s">
        <v>0</v>
      </c>
      <c r="E1" t="s">
        <v>1</v>
      </c>
      <c r="I1" s="2"/>
    </row>
    <row r="2" spans="1:24" x14ac:dyDescent="0.25">
      <c r="A2" s="9" t="s">
        <v>2</v>
      </c>
      <c r="B2" s="30">
        <v>2.74</v>
      </c>
      <c r="C2" s="4">
        <f>A6*2*2.54/100</f>
        <v>2.7431999999999999</v>
      </c>
      <c r="D2" s="6">
        <f>H9/C2</f>
        <v>0.30963837853601639</v>
      </c>
      <c r="E2" s="8">
        <f>0.588*((H6*2.54/100)/(SQRT(3)))/B3</f>
        <v>2.6800542784481893E-2</v>
      </c>
    </row>
    <row r="3" spans="1:24" x14ac:dyDescent="0.25">
      <c r="A3" s="1" t="s">
        <v>3</v>
      </c>
      <c r="B3" s="3">
        <v>0.21099999999999999</v>
      </c>
      <c r="C3" s="9" t="s">
        <v>4</v>
      </c>
      <c r="D3" s="31">
        <v>18</v>
      </c>
      <c r="M3" s="1"/>
      <c r="U3" s="1" t="s">
        <v>5</v>
      </c>
      <c r="V3" s="1" t="s">
        <v>6</v>
      </c>
    </row>
    <row r="4" spans="1:24" x14ac:dyDescent="0.25">
      <c r="A4" s="9" t="s">
        <v>7</v>
      </c>
      <c r="B4" s="30">
        <v>0.31</v>
      </c>
      <c r="C4" s="1" t="s">
        <v>8</v>
      </c>
      <c r="D4">
        <f>360/D3</f>
        <v>20</v>
      </c>
      <c r="G4" s="1" t="s">
        <v>9</v>
      </c>
      <c r="H4" s="4">
        <f>(B3*100/10)/2.54</f>
        <v>0.8307086614173228</v>
      </c>
      <c r="J4" s="1" t="s">
        <v>10</v>
      </c>
      <c r="U4" s="2">
        <f>SUM(V6:V10)</f>
        <v>38.484510006474963</v>
      </c>
      <c r="V4" s="11">
        <f>SUM(X6:X10)/U4</f>
        <v>1.6825135510204078E-2</v>
      </c>
      <c r="W4" s="12">
        <f>V4/W6</f>
        <v>0.58829145140573702</v>
      </c>
    </row>
    <row r="5" spans="1:24" x14ac:dyDescent="0.25">
      <c r="A5" s="1" t="s">
        <v>11</v>
      </c>
      <c r="B5" s="1" t="s">
        <v>12</v>
      </c>
      <c r="C5" s="1" t="s">
        <v>13</v>
      </c>
      <c r="D5" s="1" t="s">
        <v>14</v>
      </c>
      <c r="E5" s="1" t="s">
        <v>15</v>
      </c>
      <c r="G5" s="1" t="s">
        <v>16</v>
      </c>
      <c r="H5" s="5">
        <f>ROUNDUP((180/DEGREES(ACOS(SQRT(1-(4*B4*B3)/(5*0.5*B2))))),0)*1.14</f>
        <v>18.239999999999998</v>
      </c>
      <c r="J5" s="9" t="s">
        <v>17</v>
      </c>
      <c r="K5" s="31">
        <v>22</v>
      </c>
      <c r="M5" s="1" t="s">
        <v>18</v>
      </c>
      <c r="T5" s="1" t="s">
        <v>19</v>
      </c>
      <c r="U5" s="1" t="s">
        <v>20</v>
      </c>
      <c r="V5" s="1" t="s">
        <v>21</v>
      </c>
      <c r="W5" s="1" t="s">
        <v>22</v>
      </c>
      <c r="X5" s="1" t="s">
        <v>23</v>
      </c>
    </row>
    <row r="6" spans="1:24" x14ac:dyDescent="0.25">
      <c r="A6" s="7">
        <f>ROUND((B2/2)*100/2.54,0)</f>
        <v>54</v>
      </c>
      <c r="B6" s="2">
        <f>A6^2/(4*$B$4*$B$2*100/2.54)</f>
        <v>21.799623263480104</v>
      </c>
      <c r="C6" s="2">
        <f t="shared" ref="C6:C12" si="0">SQRT((B7-B6)^2+(A7-A6)^2)</f>
        <v>1.280573367288899</v>
      </c>
      <c r="D6" s="2">
        <f t="shared" ref="D6:D12" si="1">IF(A6&lt;0.13,0,C7+D7)</f>
        <v>59.11482386878474</v>
      </c>
      <c r="E6" s="2">
        <f t="shared" ref="E6:E12" si="2">2*(A6)*SIN(RADIANS($D$4/2))</f>
        <v>18.754003188028477</v>
      </c>
      <c r="G6" s="1" t="s">
        <v>24</v>
      </c>
      <c r="H6" s="4">
        <f>(B2*0.5)*(1-(COS(RADIANS(180/D3)))^2)*(100/2.54)/(8*B4)</f>
        <v>0.65580636845397633</v>
      </c>
      <c r="J6" s="1" t="s">
        <v>25</v>
      </c>
      <c r="K6" s="6">
        <v>6.5</v>
      </c>
      <c r="M6" s="2">
        <f>B6+1.5</f>
        <v>23.299623263480104</v>
      </c>
      <c r="S6" s="2">
        <f>T6^2</f>
        <v>12.25</v>
      </c>
      <c r="T6" s="2">
        <v>3.5</v>
      </c>
      <c r="U6" s="2">
        <f>PI()*T6^2</f>
        <v>38.484510006474963</v>
      </c>
      <c r="V6" s="2">
        <f>U6-U7</f>
        <v>7.7066409385211223</v>
      </c>
      <c r="W6" s="11">
        <v>2.86E-2</v>
      </c>
      <c r="X6" s="2">
        <f>W6*V6</f>
        <v>0.2204099308417041</v>
      </c>
    </row>
    <row r="7" spans="1:24" x14ac:dyDescent="0.25">
      <c r="A7" s="7">
        <f>A6-1</f>
        <v>53</v>
      </c>
      <c r="B7" s="2">
        <f>A7^2/(4*$B$4*$B$2*100/2.54)</f>
        <v>20.99970567459383</v>
      </c>
      <c r="C7" s="2">
        <f t="shared" si="0"/>
        <v>1.2712872997960309</v>
      </c>
      <c r="D7" s="2">
        <f t="shared" si="1"/>
        <v>57.843536568988711</v>
      </c>
      <c r="E7" s="2">
        <f t="shared" si="2"/>
        <v>18.406706832694613</v>
      </c>
      <c r="G7" s="1" t="s">
        <v>26</v>
      </c>
      <c r="H7" s="2">
        <f>H6*100/(B3*100/2.54)</f>
        <v>7.8945411178819906</v>
      </c>
      <c r="J7" s="1" t="s">
        <v>27</v>
      </c>
      <c r="K7" s="6">
        <f>K5-K6</f>
        <v>15.5</v>
      </c>
      <c r="M7" s="2">
        <f t="shared" ref="M7:M70" si="3">B7+1.5</f>
        <v>22.49970567459383</v>
      </c>
      <c r="S7" s="2">
        <f>4*S10</f>
        <v>9.8000000000000007</v>
      </c>
      <c r="T7" s="2">
        <v>3.13</v>
      </c>
      <c r="U7" s="2">
        <f t="shared" ref="U7:U10" si="4">PI()*T7^2</f>
        <v>30.777869067953841</v>
      </c>
      <c r="V7" s="2">
        <f>U7-U8</f>
        <v>7.7056984607250421</v>
      </c>
      <c r="W7" s="11">
        <v>2.2499999999999999E-2</v>
      </c>
      <c r="X7" s="2">
        <f t="shared" ref="X7:X10" si="5">W7*V7</f>
        <v>0.17337821536631343</v>
      </c>
    </row>
    <row r="8" spans="1:24" x14ac:dyDescent="0.25">
      <c r="A8" s="7">
        <f t="shared" ref="A8:A71" si="6">A7-1</f>
        <v>52</v>
      </c>
      <c r="B8" s="2">
        <f t="shared" ref="B8:B12" si="7">A8^2/(4*$B$4*$B$2*100/2.54)</f>
        <v>20.214739816340948</v>
      </c>
      <c r="C8" s="2">
        <f t="shared" si="0"/>
        <v>1.2621100414518596</v>
      </c>
      <c r="D8" s="2">
        <f t="shared" si="1"/>
        <v>56.581426527536848</v>
      </c>
      <c r="E8" s="2">
        <f t="shared" si="2"/>
        <v>18.059410477360753</v>
      </c>
      <c r="G8" s="9" t="s">
        <v>28</v>
      </c>
      <c r="H8" s="10">
        <f>I8*B3/B2</f>
        <v>7.0601856838100536</v>
      </c>
      <c r="I8">
        <f>(360/(2*PI()))*(1/(H16*0.7))</f>
        <v>91.682032102557102</v>
      </c>
      <c r="J8" s="1" t="s">
        <v>29</v>
      </c>
      <c r="K8" s="4">
        <f>K5^2/(4*$B$4*$B$2*100/2.54)</f>
        <v>3.6183188132799624</v>
      </c>
      <c r="M8" s="2">
        <f t="shared" si="3"/>
        <v>21.714739816340948</v>
      </c>
      <c r="S8" s="2">
        <f>S9+S10</f>
        <v>7.3500000000000005</v>
      </c>
      <c r="T8" s="2">
        <v>2.71</v>
      </c>
      <c r="U8" s="2">
        <f t="shared" si="4"/>
        <v>23.072170607228799</v>
      </c>
      <c r="V8" s="2">
        <f>U8-U9</f>
        <v>7.72831792783089</v>
      </c>
      <c r="W8" s="11">
        <v>1.6799999999999999E-2</v>
      </c>
      <c r="X8" s="2">
        <f t="shared" si="5"/>
        <v>0.12983574118755895</v>
      </c>
    </row>
    <row r="9" spans="1:24" x14ac:dyDescent="0.25">
      <c r="A9" s="7">
        <f t="shared" si="6"/>
        <v>51</v>
      </c>
      <c r="B9" s="2">
        <f t="shared" si="7"/>
        <v>19.444725688721451</v>
      </c>
      <c r="C9" s="2">
        <f t="shared" si="0"/>
        <v>1.2530439830039517</v>
      </c>
      <c r="D9" s="2">
        <f t="shared" si="1"/>
        <v>55.3283825445329</v>
      </c>
      <c r="E9" s="2">
        <f t="shared" si="2"/>
        <v>17.712114122026893</v>
      </c>
      <c r="G9" s="1" t="s">
        <v>30</v>
      </c>
      <c r="H9" s="2">
        <f>B4*B2</f>
        <v>0.84940000000000004</v>
      </c>
      <c r="J9" s="1" t="s">
        <v>31</v>
      </c>
      <c r="K9" s="4">
        <f>K8+1</f>
        <v>4.6183188132799629</v>
      </c>
      <c r="M9" s="2">
        <f t="shared" si="3"/>
        <v>20.944725688721451</v>
      </c>
      <c r="S9" s="2">
        <f>2*S10</f>
        <v>4.9000000000000004</v>
      </c>
      <c r="T9" s="2">
        <v>2.21</v>
      </c>
      <c r="U9" s="2">
        <f t="shared" si="4"/>
        <v>15.343852679397909</v>
      </c>
      <c r="V9" s="2">
        <f>U9-U10</f>
        <v>7.6001409475644275</v>
      </c>
      <c r="W9" s="11">
        <v>1.09E-2</v>
      </c>
      <c r="X9" s="2">
        <f t="shared" si="5"/>
        <v>8.2841536328452259E-2</v>
      </c>
    </row>
    <row r="10" spans="1:24" x14ac:dyDescent="0.25">
      <c r="A10" s="7">
        <f t="shared" si="6"/>
        <v>50</v>
      </c>
      <c r="B10" s="2">
        <f t="shared" si="7"/>
        <v>18.689663291735343</v>
      </c>
      <c r="C10" s="2">
        <f t="shared" si="0"/>
        <v>1.2440915554930303</v>
      </c>
      <c r="D10" s="2">
        <f t="shared" si="1"/>
        <v>54.084290989039872</v>
      </c>
      <c r="E10" s="2">
        <f t="shared" si="2"/>
        <v>17.364817766693033</v>
      </c>
      <c r="G10" s="1" t="s">
        <v>32</v>
      </c>
      <c r="H10" s="2">
        <f>H9*100/2.54</f>
        <v>33.440944881889763</v>
      </c>
      <c r="J10" s="1" t="s">
        <v>33</v>
      </c>
      <c r="K10" s="4">
        <f>K11-K9</f>
        <v>7.3816811867200371</v>
      </c>
      <c r="M10" s="2">
        <f t="shared" si="3"/>
        <v>20.189663291735343</v>
      </c>
      <c r="S10" s="2">
        <f>S6/5</f>
        <v>2.4500000000000002</v>
      </c>
      <c r="T10" s="2">
        <v>1.57</v>
      </c>
      <c r="U10" s="2">
        <f t="shared" si="4"/>
        <v>7.7437117318334812</v>
      </c>
      <c r="V10" s="2">
        <f>U10-S11</f>
        <v>7.7437117318334812</v>
      </c>
      <c r="W10" s="11">
        <v>5.3E-3</v>
      </c>
      <c r="X10" s="2">
        <f t="shared" si="5"/>
        <v>4.1041672178717452E-2</v>
      </c>
    </row>
    <row r="11" spans="1:24" x14ac:dyDescent="0.25">
      <c r="A11" s="7">
        <f t="shared" si="6"/>
        <v>49</v>
      </c>
      <c r="B11" s="2">
        <f t="shared" si="7"/>
        <v>17.949552625382623</v>
      </c>
      <c r="C11" s="2">
        <f t="shared" si="0"/>
        <v>1.2352552295188204</v>
      </c>
      <c r="D11" s="2">
        <f t="shared" si="1"/>
        <v>52.849035759521051</v>
      </c>
      <c r="E11" s="2">
        <f t="shared" si="2"/>
        <v>17.017521411359173</v>
      </c>
      <c r="G11" s="1" t="s">
        <v>34</v>
      </c>
      <c r="H11" s="2">
        <f>0.73*B3*100</f>
        <v>15.403</v>
      </c>
      <c r="J11" s="9" t="s">
        <v>35</v>
      </c>
      <c r="K11" s="30">
        <v>12</v>
      </c>
      <c r="L11" s="1"/>
      <c r="M11" s="2">
        <f t="shared" si="3"/>
        <v>19.449552625382623</v>
      </c>
    </row>
    <row r="12" spans="1:24" x14ac:dyDescent="0.25">
      <c r="A12" s="7">
        <f t="shared" si="6"/>
        <v>48</v>
      </c>
      <c r="B12" s="2">
        <f t="shared" si="7"/>
        <v>17.224393689663291</v>
      </c>
      <c r="C12" s="2">
        <f t="shared" si="0"/>
        <v>1.2265375143696124</v>
      </c>
      <c r="D12" s="2">
        <f t="shared" si="1"/>
        <v>51.622498245151441</v>
      </c>
      <c r="E12" s="2">
        <f t="shared" si="2"/>
        <v>16.670225056025313</v>
      </c>
      <c r="G12" s="1" t="s">
        <v>36</v>
      </c>
      <c r="H12" s="2">
        <f>H11/2.54</f>
        <v>6.0641732283464567</v>
      </c>
      <c r="J12" s="9" t="s">
        <v>37</v>
      </c>
      <c r="K12" s="10">
        <f>SQRT(K7^2+K10^2)</f>
        <v>17.167970676302325</v>
      </c>
      <c r="L12" s="13" t="s">
        <v>38</v>
      </c>
      <c r="M12" s="2">
        <f t="shared" si="3"/>
        <v>18.724393689663291</v>
      </c>
    </row>
    <row r="13" spans="1:24" x14ac:dyDescent="0.25">
      <c r="A13" s="7">
        <f t="shared" si="6"/>
        <v>47</v>
      </c>
      <c r="B13" s="2">
        <f>A13^2/(4*$B$4*$B$2*100/2.54)</f>
        <v>16.514186484577348</v>
      </c>
      <c r="C13" s="2">
        <f>SQRT((B14-B13)^2+(A14-A13)^2)</f>
        <v>1.2179409570074589</v>
      </c>
      <c r="D13" s="2">
        <f>IF(A13&lt;0.13,0,C14+D14)</f>
        <v>50.404557288143984</v>
      </c>
      <c r="E13" s="2">
        <f>2*(A13)*SIN(RADIANS($D$4/2))</f>
        <v>16.322928700691453</v>
      </c>
      <c r="G13" s="1" t="s">
        <v>39</v>
      </c>
      <c r="H13" s="2">
        <f>H11*B4-H11/(16*B4)</f>
        <v>1.6694864516129035</v>
      </c>
      <c r="J13" s="9" t="s">
        <v>40</v>
      </c>
      <c r="K13" s="10">
        <f>H15</f>
        <v>34.783666751333499</v>
      </c>
      <c r="L13" s="14">
        <f>K12+K7</f>
        <v>32.667970676302325</v>
      </c>
      <c r="M13" s="2">
        <f t="shared" si="3"/>
        <v>18.014186484577348</v>
      </c>
    </row>
    <row r="14" spans="1:24" x14ac:dyDescent="0.25">
      <c r="A14" s="7">
        <f t="shared" si="6"/>
        <v>46</v>
      </c>
      <c r="B14" s="2">
        <f>A14^2/(4*$B$4*$B$2*100/2.54)</f>
        <v>15.818931010124794</v>
      </c>
      <c r="C14" s="2">
        <f t="shared" ref="C14:C77" si="8">SQRT((B15-B14)^2+(A15-A14)^2)</f>
        <v>1.2094681409009393</v>
      </c>
      <c r="D14" s="2">
        <f t="shared" ref="D14:D77" si="9">IF(A14&lt;0.13,0,C15+D15)</f>
        <v>49.195089147243046</v>
      </c>
      <c r="E14" s="2">
        <f t="shared" ref="E14:E77" si="10">2*(A14)*SIN(RADIANS($D$4/2))</f>
        <v>15.975632345357591</v>
      </c>
      <c r="G14" s="1" t="s">
        <v>41</v>
      </c>
      <c r="H14" s="2">
        <f>H13/2.54</f>
        <v>0.65727813055626128</v>
      </c>
      <c r="M14" s="2">
        <f t="shared" si="3"/>
        <v>17.318931010124793</v>
      </c>
      <c r="U14" s="1" t="s">
        <v>5</v>
      </c>
      <c r="V14" s="1" t="s">
        <v>6</v>
      </c>
    </row>
    <row r="15" spans="1:24" x14ac:dyDescent="0.25">
      <c r="A15" s="7">
        <f t="shared" si="6"/>
        <v>45</v>
      </c>
      <c r="B15" s="2">
        <f t="shared" ref="B15:B78" si="11">A15^2/(4*$B$4*$B$2*100/2.54)</f>
        <v>15.138627266305628</v>
      </c>
      <c r="C15" s="2">
        <f t="shared" si="8"/>
        <v>1.2011216846974198</v>
      </c>
      <c r="D15" s="2">
        <f t="shared" si="9"/>
        <v>47.993967462545626</v>
      </c>
      <c r="E15" s="2">
        <f t="shared" si="10"/>
        <v>15.62833599002373</v>
      </c>
      <c r="G15" s="9" t="s">
        <v>42</v>
      </c>
      <c r="H15" s="10">
        <f>H10-H14+2</f>
        <v>34.783666751333499</v>
      </c>
      <c r="K15" s="1" t="s">
        <v>43</v>
      </c>
      <c r="M15" s="2">
        <f t="shared" si="3"/>
        <v>16.638627266305626</v>
      </c>
      <c r="U15" s="2">
        <f>SUM(V17:V21)</f>
        <v>23.585821006090733</v>
      </c>
      <c r="V15" s="11">
        <f>SUM(X17:X21)/U15</f>
        <v>2.6780000000000002E-2</v>
      </c>
      <c r="W15" s="12">
        <f>V15/W17</f>
        <v>0.58728070175438596</v>
      </c>
    </row>
    <row r="16" spans="1:24" x14ac:dyDescent="0.25">
      <c r="A16" s="7">
        <f t="shared" si="6"/>
        <v>44</v>
      </c>
      <c r="B16" s="2">
        <f t="shared" si="11"/>
        <v>14.47327525311985</v>
      </c>
      <c r="C16" s="2">
        <f t="shared" si="8"/>
        <v>1.1929042407269028</v>
      </c>
      <c r="D16" s="2">
        <f t="shared" si="9"/>
        <v>46.801063221818723</v>
      </c>
      <c r="E16" s="2">
        <f t="shared" si="10"/>
        <v>15.281039634689868</v>
      </c>
      <c r="G16" s="1" t="s">
        <v>44</v>
      </c>
      <c r="H16" s="8">
        <f>EXP(-((4*PI()*E2)^2))</f>
        <v>0.89277159016891705</v>
      </c>
      <c r="K16">
        <v>0</v>
      </c>
      <c r="L16" s="2">
        <f>H15</f>
        <v>34.783666751333499</v>
      </c>
      <c r="M16" s="2">
        <f t="shared" si="3"/>
        <v>15.97327525311985</v>
      </c>
      <c r="T16" s="1" t="s">
        <v>19</v>
      </c>
      <c r="U16" s="1" t="s">
        <v>20</v>
      </c>
      <c r="V16" s="1" t="s">
        <v>21</v>
      </c>
      <c r="W16" s="1" t="s">
        <v>22</v>
      </c>
      <c r="X16" s="1" t="s">
        <v>23</v>
      </c>
    </row>
    <row r="17" spans="1:24" x14ac:dyDescent="0.25">
      <c r="A17" s="7">
        <f t="shared" si="6"/>
        <v>43</v>
      </c>
      <c r="B17" s="2">
        <f t="shared" si="11"/>
        <v>13.82287497056746</v>
      </c>
      <c r="C17" s="2">
        <f t="shared" si="8"/>
        <v>1.1848184933296559</v>
      </c>
      <c r="D17" s="2">
        <f t="shared" si="9"/>
        <v>45.616244728489065</v>
      </c>
      <c r="E17" s="2">
        <f t="shared" si="10"/>
        <v>14.933743279356008</v>
      </c>
      <c r="K17" s="1" t="s">
        <v>45</v>
      </c>
      <c r="M17" s="2">
        <f t="shared" si="3"/>
        <v>15.32287497056746</v>
      </c>
      <c r="S17" s="2">
        <f>T17^2</f>
        <v>7.5076000000000009</v>
      </c>
      <c r="T17" s="2">
        <v>2.74</v>
      </c>
      <c r="U17" s="2">
        <f>PI()*T17^2</f>
        <v>23.585821006090733</v>
      </c>
      <c r="V17" s="2">
        <f>U17-U18</f>
        <v>4.7171642012181501</v>
      </c>
      <c r="W17" s="11">
        <v>4.5600000000000002E-2</v>
      </c>
      <c r="X17" s="2">
        <f>W17*V17</f>
        <v>0.21510268757554765</v>
      </c>
    </row>
    <row r="18" spans="1:24" x14ac:dyDescent="0.25">
      <c r="A18" s="7">
        <f t="shared" si="6"/>
        <v>42</v>
      </c>
      <c r="B18" s="2">
        <f t="shared" si="11"/>
        <v>13.187426418648458</v>
      </c>
      <c r="C18" s="2">
        <f t="shared" si="8"/>
        <v>1.1768671570001221</v>
      </c>
      <c r="D18" s="2">
        <f t="shared" si="9"/>
        <v>44.43937757148894</v>
      </c>
      <c r="E18" s="2">
        <f t="shared" si="10"/>
        <v>14.586446924022148</v>
      </c>
      <c r="K18">
        <f>K16-3</f>
        <v>-3</v>
      </c>
      <c r="L18" s="2">
        <f>L16</f>
        <v>34.783666751333499</v>
      </c>
      <c r="M18" s="2">
        <f t="shared" si="3"/>
        <v>14.687426418648458</v>
      </c>
      <c r="S18" s="2">
        <f>4*S21</f>
        <v>6.0060800000000008</v>
      </c>
      <c r="T18" s="2">
        <f>SQRT(S18)</f>
        <v>2.4507305033397695</v>
      </c>
      <c r="U18" s="2">
        <f>PI()*T18^2</f>
        <v>18.868656804872582</v>
      </c>
      <c r="V18" s="2">
        <f>U18-U19</f>
        <v>4.7171642012181429</v>
      </c>
      <c r="W18" s="11">
        <v>3.61E-2</v>
      </c>
      <c r="X18" s="2">
        <f t="shared" ref="X18:X21" si="12">W18*V18</f>
        <v>0.17028962766397496</v>
      </c>
    </row>
    <row r="19" spans="1:24" x14ac:dyDescent="0.25">
      <c r="A19" s="7">
        <f t="shared" si="6"/>
        <v>41</v>
      </c>
      <c r="B19" s="2">
        <f t="shared" si="11"/>
        <v>12.566929597362845</v>
      </c>
      <c r="C19" s="2">
        <f t="shared" si="8"/>
        <v>1.1690529743399198</v>
      </c>
      <c r="D19" s="2">
        <f t="shared" si="9"/>
        <v>43.27032459714902</v>
      </c>
      <c r="E19" s="2">
        <f t="shared" si="10"/>
        <v>14.239150568688288</v>
      </c>
      <c r="K19">
        <f>K18+6</f>
        <v>3</v>
      </c>
      <c r="L19" s="2">
        <f>L16</f>
        <v>34.783666751333499</v>
      </c>
      <c r="M19" s="2">
        <f t="shared" si="3"/>
        <v>14.066929597362845</v>
      </c>
      <c r="S19" s="2">
        <f>S20+S21</f>
        <v>4.5045600000000006</v>
      </c>
      <c r="T19" s="2">
        <f t="shared" ref="T19:T21" si="13">SQRT(S19)</f>
        <v>2.1223948737216647</v>
      </c>
      <c r="U19" s="2">
        <f t="shared" ref="U19:U21" si="14">PI()*T19^2</f>
        <v>14.15149260365444</v>
      </c>
      <c r="V19" s="2">
        <f>U19-U20</f>
        <v>4.7171642012181465</v>
      </c>
      <c r="W19" s="11">
        <v>2.6700000000000002E-2</v>
      </c>
      <c r="X19" s="2">
        <f t="shared" si="12"/>
        <v>0.12594828417252452</v>
      </c>
    </row>
    <row r="20" spans="1:24" x14ac:dyDescent="0.25">
      <c r="A20" s="7">
        <f t="shared" si="6"/>
        <v>40</v>
      </c>
      <c r="B20" s="2">
        <f t="shared" si="11"/>
        <v>11.961384506710619</v>
      </c>
      <c r="C20" s="2">
        <f t="shared" si="8"/>
        <v>1.1613787138131724</v>
      </c>
      <c r="D20" s="2">
        <f t="shared" si="9"/>
        <v>42.108945883335849</v>
      </c>
      <c r="E20" s="2">
        <f t="shared" si="10"/>
        <v>13.891854213354426</v>
      </c>
      <c r="K20">
        <f>K18</f>
        <v>-3</v>
      </c>
      <c r="L20" s="2">
        <f>L18+1.5</f>
        <v>36.283666751333499</v>
      </c>
      <c r="M20" s="2">
        <f t="shared" si="3"/>
        <v>13.461384506710619</v>
      </c>
      <c r="S20" s="2">
        <f>2*S21</f>
        <v>3.0030400000000004</v>
      </c>
      <c r="T20" s="2">
        <f t="shared" si="13"/>
        <v>1.7329281577722719</v>
      </c>
      <c r="U20" s="2">
        <f t="shared" si="14"/>
        <v>9.434328402436293</v>
      </c>
      <c r="V20" s="2">
        <f>U20-U21</f>
        <v>4.7171642012181474</v>
      </c>
      <c r="W20" s="11">
        <v>1.72E-2</v>
      </c>
      <c r="X20" s="2">
        <f t="shared" si="12"/>
        <v>8.1135224260952141E-2</v>
      </c>
    </row>
    <row r="21" spans="1:24" x14ac:dyDescent="0.25">
      <c r="A21" s="7">
        <f t="shared" si="6"/>
        <v>39</v>
      </c>
      <c r="B21" s="2">
        <f t="shared" si="11"/>
        <v>11.370791146691783</v>
      </c>
      <c r="C21" s="2">
        <f t="shared" si="8"/>
        <v>1.1538471672979629</v>
      </c>
      <c r="D21" s="2">
        <f t="shared" si="9"/>
        <v>40.955098716037888</v>
      </c>
      <c r="E21" s="2">
        <f t="shared" si="10"/>
        <v>13.544557858020566</v>
      </c>
      <c r="K21">
        <f>K19</f>
        <v>3</v>
      </c>
      <c r="L21" s="2">
        <f>L20</f>
        <v>36.283666751333499</v>
      </c>
      <c r="M21" s="2">
        <f t="shared" si="3"/>
        <v>12.870791146691783</v>
      </c>
      <c r="S21" s="2">
        <f>S17/5</f>
        <v>1.5015200000000002</v>
      </c>
      <c r="T21" s="2">
        <f t="shared" si="13"/>
        <v>1.2253652516698847</v>
      </c>
      <c r="U21" s="2">
        <f t="shared" si="14"/>
        <v>4.7171642012181456</v>
      </c>
      <c r="V21" s="2">
        <f>U21-U22</f>
        <v>4.7171642012181456</v>
      </c>
      <c r="W21" s="11">
        <v>8.3000000000000001E-3</v>
      </c>
      <c r="X21" s="2">
        <f t="shared" si="12"/>
        <v>3.9152462870110608E-2</v>
      </c>
    </row>
    <row r="22" spans="1:24" x14ac:dyDescent="0.25">
      <c r="A22" s="7">
        <f t="shared" si="6"/>
        <v>38</v>
      </c>
      <c r="B22" s="2">
        <f t="shared" si="11"/>
        <v>10.795149517306335</v>
      </c>
      <c r="C22" s="2">
        <f t="shared" si="8"/>
        <v>1.1464611474282924</v>
      </c>
      <c r="D22" s="2">
        <f t="shared" si="9"/>
        <v>39.808637568609598</v>
      </c>
      <c r="E22" s="2">
        <f t="shared" si="10"/>
        <v>13.197261502686706</v>
      </c>
      <c r="K22">
        <f>K18</f>
        <v>-3</v>
      </c>
      <c r="L22" s="2">
        <f>L18</f>
        <v>34.783666751333499</v>
      </c>
      <c r="M22" s="2">
        <f t="shared" si="3"/>
        <v>12.295149517306335</v>
      </c>
    </row>
    <row r="23" spans="1:24" x14ac:dyDescent="0.25">
      <c r="A23" s="7">
        <f t="shared" si="6"/>
        <v>37</v>
      </c>
      <c r="B23" s="2">
        <f t="shared" si="11"/>
        <v>10.234459618554274</v>
      </c>
      <c r="C23" s="2">
        <f t="shared" si="8"/>
        <v>1.1392234847217313</v>
      </c>
      <c r="D23" s="2">
        <f t="shared" si="9"/>
        <v>38.669414083887865</v>
      </c>
      <c r="E23" s="2">
        <f t="shared" si="10"/>
        <v>12.849965147352844</v>
      </c>
      <c r="K23">
        <f>K22</f>
        <v>-3</v>
      </c>
      <c r="L23" s="2">
        <f>L20</f>
        <v>36.283666751333499</v>
      </c>
      <c r="M23" s="2">
        <f t="shared" si="3"/>
        <v>11.734459618554274</v>
      </c>
    </row>
    <row r="24" spans="1:24" x14ac:dyDescent="0.25">
      <c r="A24" s="7">
        <f t="shared" si="6"/>
        <v>36</v>
      </c>
      <c r="B24" s="2">
        <f t="shared" si="11"/>
        <v>9.688721450435601</v>
      </c>
      <c r="C24" s="2">
        <f t="shared" si="8"/>
        <v>1.1321370244887843</v>
      </c>
      <c r="D24" s="2">
        <f t="shared" si="9"/>
        <v>37.537277059399081</v>
      </c>
      <c r="E24" s="2">
        <f t="shared" si="10"/>
        <v>12.502668792018984</v>
      </c>
      <c r="K24">
        <f>K19</f>
        <v>3</v>
      </c>
      <c r="L24" s="2">
        <f>L22</f>
        <v>34.783666751333499</v>
      </c>
      <c r="M24" s="2">
        <f t="shared" si="3"/>
        <v>11.188721450435601</v>
      </c>
    </row>
    <row r="25" spans="1:24" x14ac:dyDescent="0.25">
      <c r="A25" s="7">
        <f t="shared" si="6"/>
        <v>35</v>
      </c>
      <c r="B25" s="2">
        <f t="shared" si="11"/>
        <v>9.1579350129503183</v>
      </c>
      <c r="C25" s="2">
        <f t="shared" si="8"/>
        <v>1.1252046235209761</v>
      </c>
      <c r="D25" s="2">
        <f t="shared" si="9"/>
        <v>36.412072435878102</v>
      </c>
      <c r="E25" s="2">
        <f t="shared" si="10"/>
        <v>12.155372436685123</v>
      </c>
      <c r="K25">
        <f>K19</f>
        <v>3</v>
      </c>
      <c r="L25" s="2">
        <f>L23</f>
        <v>36.283666751333499</v>
      </c>
      <c r="M25" s="2">
        <f t="shared" si="3"/>
        <v>10.657935012950318</v>
      </c>
    </row>
    <row r="26" spans="1:24" x14ac:dyDescent="0.25">
      <c r="A26" s="7">
        <f t="shared" si="6"/>
        <v>34</v>
      </c>
      <c r="B26" s="2">
        <f t="shared" si="11"/>
        <v>8.6421003060984223</v>
      </c>
      <c r="C26" s="2">
        <f t="shared" si="8"/>
        <v>1.1184291465557887</v>
      </c>
      <c r="D26" s="2">
        <f t="shared" si="9"/>
        <v>35.293643289322311</v>
      </c>
      <c r="E26" s="2">
        <f t="shared" si="10"/>
        <v>11.808076081351263</v>
      </c>
      <c r="K26" s="1" t="s">
        <v>46</v>
      </c>
      <c r="M26" s="2">
        <f t="shared" si="3"/>
        <v>10.142100306098422</v>
      </c>
    </row>
    <row r="27" spans="1:24" x14ac:dyDescent="0.25">
      <c r="A27" s="7">
        <f t="shared" si="6"/>
        <v>33</v>
      </c>
      <c r="B27" s="2">
        <f t="shared" si="11"/>
        <v>8.1412173298799146</v>
      </c>
      <c r="C27" s="2">
        <f t="shared" si="8"/>
        <v>1.1118134625178382</v>
      </c>
      <c r="D27" s="2">
        <f t="shared" si="9"/>
        <v>34.181829826804474</v>
      </c>
      <c r="E27" s="2">
        <f t="shared" si="10"/>
        <v>11.460779726017401</v>
      </c>
      <c r="K27" s="7">
        <f>A21</f>
        <v>39</v>
      </c>
      <c r="L27" s="2">
        <f>B21</f>
        <v>11.370791146691783</v>
      </c>
      <c r="M27" s="2">
        <f t="shared" si="3"/>
        <v>9.6412173298799146</v>
      </c>
    </row>
    <row r="28" spans="1:24" x14ac:dyDescent="0.25">
      <c r="A28" s="7">
        <f t="shared" si="6"/>
        <v>32</v>
      </c>
      <c r="B28" s="2">
        <f t="shared" si="11"/>
        <v>7.6552860842947963</v>
      </c>
      <c r="C28" s="2">
        <f t="shared" si="8"/>
        <v>1.1053604405370077</v>
      </c>
      <c r="D28" s="2">
        <f t="shared" si="9"/>
        <v>33.076469386267469</v>
      </c>
      <c r="E28" s="2">
        <f t="shared" si="10"/>
        <v>11.113483370683541</v>
      </c>
      <c r="K28" s="7">
        <f>K27</f>
        <v>39</v>
      </c>
      <c r="L28" s="2">
        <f>M21</f>
        <v>12.870791146691783</v>
      </c>
      <c r="M28" s="2">
        <f t="shared" si="3"/>
        <v>9.1552860842947972</v>
      </c>
    </row>
    <row r="29" spans="1:24" x14ac:dyDescent="0.25">
      <c r="A29" s="7">
        <f t="shared" si="6"/>
        <v>31</v>
      </c>
      <c r="B29" s="2">
        <f t="shared" si="11"/>
        <v>7.1843065693430654</v>
      </c>
      <c r="C29" s="2">
        <f t="shared" si="8"/>
        <v>1.0990729457457753</v>
      </c>
      <c r="D29" s="2">
        <f t="shared" si="9"/>
        <v>31.977396440521691</v>
      </c>
      <c r="E29" s="2">
        <f t="shared" si="10"/>
        <v>10.766187015349681</v>
      </c>
      <c r="K29" s="7">
        <f>-K27</f>
        <v>-39</v>
      </c>
      <c r="L29" s="2">
        <f>L27</f>
        <v>11.370791146691783</v>
      </c>
      <c r="M29" s="2">
        <f t="shared" si="3"/>
        <v>8.6843065693430646</v>
      </c>
    </row>
    <row r="30" spans="1:24" x14ac:dyDescent="0.25">
      <c r="A30" s="7">
        <f t="shared" si="6"/>
        <v>30</v>
      </c>
      <c r="B30" s="2">
        <f t="shared" si="11"/>
        <v>6.7282787850247239</v>
      </c>
      <c r="C30" s="2">
        <f t="shared" si="8"/>
        <v>1.092953834859594</v>
      </c>
      <c r="D30" s="2">
        <f t="shared" si="9"/>
        <v>30.884442605662098</v>
      </c>
      <c r="E30" s="2">
        <f t="shared" si="10"/>
        <v>10.418890660015819</v>
      </c>
      <c r="K30" s="7">
        <f>-K28</f>
        <v>-39</v>
      </c>
      <c r="L30" s="2">
        <f>L28</f>
        <v>12.870791146691783</v>
      </c>
      <c r="M30" s="2">
        <f t="shared" si="3"/>
        <v>8.2282787850247239</v>
      </c>
    </row>
    <row r="31" spans="1:24" x14ac:dyDescent="0.25">
      <c r="A31" s="7">
        <f t="shared" si="6"/>
        <v>29</v>
      </c>
      <c r="B31" s="2">
        <f t="shared" si="11"/>
        <v>6.2872027313397698</v>
      </c>
      <c r="C31" s="2">
        <f t="shared" si="8"/>
        <v>1.0870059515458763</v>
      </c>
      <c r="D31" s="2">
        <f t="shared" si="9"/>
        <v>29.797436654116222</v>
      </c>
      <c r="E31" s="2">
        <f t="shared" si="10"/>
        <v>10.071594304681959</v>
      </c>
      <c r="K31" s="1" t="s">
        <v>47</v>
      </c>
      <c r="M31" s="2">
        <f t="shared" si="3"/>
        <v>7.7872027313397698</v>
      </c>
    </row>
    <row r="32" spans="1:24" x14ac:dyDescent="0.25">
      <c r="A32" s="7">
        <f t="shared" si="6"/>
        <v>28</v>
      </c>
      <c r="B32" s="2">
        <f t="shared" si="11"/>
        <v>5.8610784082882033</v>
      </c>
      <c r="C32" s="2">
        <f t="shared" si="8"/>
        <v>1.0812321215890159</v>
      </c>
      <c r="D32" s="2">
        <f t="shared" si="9"/>
        <v>28.716204532527208</v>
      </c>
      <c r="E32" s="2">
        <f t="shared" si="10"/>
        <v>9.7242979493480988</v>
      </c>
      <c r="K32" s="7">
        <f>A6</f>
        <v>54</v>
      </c>
      <c r="L32" s="2">
        <f>B6</f>
        <v>21.799623263480104</v>
      </c>
      <c r="M32" s="2">
        <f t="shared" si="3"/>
        <v>7.3610784082882033</v>
      </c>
    </row>
    <row r="33" spans="1:13" x14ac:dyDescent="0.25">
      <c r="A33" s="7">
        <f t="shared" si="6"/>
        <v>27</v>
      </c>
      <c r="B33" s="2">
        <f t="shared" si="11"/>
        <v>5.449905815870026</v>
      </c>
      <c r="C33" s="2">
        <f t="shared" si="8"/>
        <v>1.0756351478607793</v>
      </c>
      <c r="D33" s="2">
        <f t="shared" si="9"/>
        <v>27.640569384666428</v>
      </c>
      <c r="E33" s="2">
        <f t="shared" si="10"/>
        <v>9.3770015940142386</v>
      </c>
      <c r="K33" s="7">
        <f>K32</f>
        <v>54</v>
      </c>
      <c r="L33" s="2">
        <f>M6</f>
        <v>23.299623263480104</v>
      </c>
      <c r="M33" s="2">
        <f t="shared" si="3"/>
        <v>6.949905815870026</v>
      </c>
    </row>
    <row r="34" spans="1:13" x14ac:dyDescent="0.25">
      <c r="A34" s="7">
        <f t="shared" si="6"/>
        <v>26</v>
      </c>
      <c r="B34" s="2">
        <f t="shared" si="11"/>
        <v>5.0536849540852371</v>
      </c>
      <c r="C34" s="2">
        <f t="shared" si="8"/>
        <v>1.0702178051074205</v>
      </c>
      <c r="D34" s="2">
        <f t="shared" si="9"/>
        <v>26.570351579559006</v>
      </c>
      <c r="E34" s="2">
        <f t="shared" si="10"/>
        <v>9.0297052386803767</v>
      </c>
      <c r="K34" s="7">
        <f>-K32</f>
        <v>-54</v>
      </c>
      <c r="L34" s="2">
        <f>L32</f>
        <v>21.799623263480104</v>
      </c>
      <c r="M34" s="2">
        <f t="shared" si="3"/>
        <v>6.5536849540852371</v>
      </c>
    </row>
    <row r="35" spans="1:13" x14ac:dyDescent="0.25">
      <c r="A35" s="7">
        <f t="shared" si="6"/>
        <v>25</v>
      </c>
      <c r="B35" s="2">
        <f t="shared" si="11"/>
        <v>4.6724158229338357</v>
      </c>
      <c r="C35" s="2">
        <f t="shared" si="8"/>
        <v>1.0649828345669587</v>
      </c>
      <c r="D35" s="2">
        <f t="shared" si="9"/>
        <v>25.505368744992047</v>
      </c>
      <c r="E35" s="2">
        <f t="shared" si="10"/>
        <v>8.6824088833465165</v>
      </c>
      <c r="K35" s="7">
        <f>K34</f>
        <v>-54</v>
      </c>
      <c r="L35" s="2">
        <f>L33</f>
        <v>23.299623263480104</v>
      </c>
      <c r="M35" s="2">
        <f t="shared" si="3"/>
        <v>6.1724158229338357</v>
      </c>
    </row>
    <row r="36" spans="1:13" x14ac:dyDescent="0.25">
      <c r="A36" s="7">
        <f t="shared" si="6"/>
        <v>24</v>
      </c>
      <c r="B36" s="2">
        <f t="shared" si="11"/>
        <v>4.3060984224158227</v>
      </c>
      <c r="C36" s="2">
        <f t="shared" si="8"/>
        <v>1.0599329384321776</v>
      </c>
      <c r="D36" s="2">
        <f t="shared" si="9"/>
        <v>24.445435806559871</v>
      </c>
      <c r="E36" s="2">
        <f t="shared" si="10"/>
        <v>8.3351125280126563</v>
      </c>
      <c r="K36" s="1" t="s">
        <v>48</v>
      </c>
      <c r="M36" s="2">
        <f t="shared" si="3"/>
        <v>5.8060984224158227</v>
      </c>
    </row>
    <row r="37" spans="1:13" x14ac:dyDescent="0.25">
      <c r="A37" s="7">
        <f t="shared" si="6"/>
        <v>23</v>
      </c>
      <c r="B37" s="2">
        <f t="shared" si="11"/>
        <v>3.9547327525311986</v>
      </c>
      <c r="C37" s="2">
        <f t="shared" si="8"/>
        <v>1.055070774177038</v>
      </c>
      <c r="D37" s="2">
        <f t="shared" si="9"/>
        <v>23.390365032382832</v>
      </c>
      <c r="E37" s="2">
        <f t="shared" si="10"/>
        <v>7.9878161726787953</v>
      </c>
      <c r="K37" s="7">
        <f>A25</f>
        <v>35</v>
      </c>
      <c r="L37" s="2">
        <f>B25</f>
        <v>9.1579350129503183</v>
      </c>
      <c r="M37" s="2">
        <f t="shared" si="3"/>
        <v>5.4547327525311982</v>
      </c>
    </row>
    <row r="38" spans="1:13" x14ac:dyDescent="0.25">
      <c r="A38" s="7">
        <f t="shared" si="6"/>
        <v>22</v>
      </c>
      <c r="B38" s="2">
        <f t="shared" si="11"/>
        <v>3.6183188132799624</v>
      </c>
      <c r="C38" s="2">
        <f t="shared" si="8"/>
        <v>1.0503989487663554</v>
      </c>
      <c r="D38" s="2">
        <f t="shared" si="9"/>
        <v>22.339966083616478</v>
      </c>
      <c r="E38" s="2">
        <f t="shared" si="10"/>
        <v>7.6405198173449342</v>
      </c>
      <c r="K38" s="7">
        <f>K37</f>
        <v>35</v>
      </c>
      <c r="L38" s="2">
        <f>M25</f>
        <v>10.657935012950318</v>
      </c>
      <c r="M38" s="2">
        <f t="shared" si="3"/>
        <v>5.1183188132799629</v>
      </c>
    </row>
    <row r="39" spans="1:13" x14ac:dyDescent="0.25">
      <c r="A39" s="7">
        <f t="shared" si="6"/>
        <v>21</v>
      </c>
      <c r="B39" s="2">
        <f t="shared" si="11"/>
        <v>3.2968566046621146</v>
      </c>
      <c r="C39" s="2">
        <f t="shared" si="8"/>
        <v>1.0459200127707005</v>
      </c>
      <c r="D39" s="2">
        <f t="shared" si="9"/>
        <v>21.294046070845777</v>
      </c>
      <c r="E39" s="2">
        <f t="shared" si="10"/>
        <v>7.2932234620110741</v>
      </c>
      <c r="K39" s="7">
        <f>-K37</f>
        <v>-35</v>
      </c>
      <c r="L39" s="2">
        <f>L37</f>
        <v>9.1579350129503183</v>
      </c>
      <c r="M39" s="2">
        <f t="shared" si="3"/>
        <v>4.7968566046621142</v>
      </c>
    </row>
    <row r="40" spans="1:13" x14ac:dyDescent="0.25">
      <c r="A40" s="7">
        <f t="shared" si="6"/>
        <v>20</v>
      </c>
      <c r="B40" s="2">
        <f t="shared" si="11"/>
        <v>2.9903461266776548</v>
      </c>
      <c r="C40" s="2">
        <f t="shared" si="8"/>
        <v>1.041636454410523</v>
      </c>
      <c r="D40" s="2">
        <f t="shared" si="9"/>
        <v>20.252409616435255</v>
      </c>
      <c r="E40" s="2">
        <f t="shared" si="10"/>
        <v>6.945927106677213</v>
      </c>
      <c r="K40" s="7">
        <f>K39</f>
        <v>-35</v>
      </c>
      <c r="L40" s="2">
        <f>L38</f>
        <v>10.657935012950318</v>
      </c>
      <c r="M40" s="2">
        <f t="shared" si="3"/>
        <v>4.4903461266776548</v>
      </c>
    </row>
    <row r="41" spans="1:13" x14ac:dyDescent="0.25">
      <c r="A41" s="7">
        <f t="shared" si="6"/>
        <v>19</v>
      </c>
      <c r="B41" s="2">
        <f t="shared" si="11"/>
        <v>2.6987873793265837</v>
      </c>
      <c r="C41" s="2">
        <f t="shared" si="8"/>
        <v>1.0375506935554797</v>
      </c>
      <c r="D41" s="2">
        <f t="shared" si="9"/>
        <v>19.214858922879774</v>
      </c>
      <c r="E41" s="2">
        <f t="shared" si="10"/>
        <v>6.5986307513433529</v>
      </c>
      <c r="K41" s="1" t="s">
        <v>49</v>
      </c>
      <c r="M41" s="2">
        <f t="shared" si="3"/>
        <v>4.1987873793265837</v>
      </c>
    </row>
    <row r="42" spans="1:13" x14ac:dyDescent="0.25">
      <c r="A42" s="7">
        <f t="shared" si="6"/>
        <v>18</v>
      </c>
      <c r="B42" s="2">
        <f t="shared" si="11"/>
        <v>2.4221803626089002</v>
      </c>
      <c r="C42" s="2">
        <f t="shared" si="8"/>
        <v>1.0336650757067563</v>
      </c>
      <c r="D42" s="2">
        <f t="shared" si="9"/>
        <v>18.181193847173017</v>
      </c>
      <c r="E42" s="2">
        <f t="shared" si="10"/>
        <v>6.2513343960094918</v>
      </c>
      <c r="K42" s="7">
        <f>A69</f>
        <v>-9</v>
      </c>
      <c r="L42" s="2">
        <f>B69</f>
        <v>0.60554509065222506</v>
      </c>
      <c r="M42" s="2">
        <f t="shared" si="3"/>
        <v>3.9221803626089002</v>
      </c>
    </row>
    <row r="43" spans="1:13" x14ac:dyDescent="0.25">
      <c r="A43" s="7">
        <f t="shared" si="6"/>
        <v>17</v>
      </c>
      <c r="B43" s="2">
        <f t="shared" si="11"/>
        <v>2.1605250765246056</v>
      </c>
      <c r="C43" s="2">
        <f t="shared" si="8"/>
        <v>1.0299818659918816</v>
      </c>
      <c r="D43" s="2">
        <f t="shared" si="9"/>
        <v>17.151211981181135</v>
      </c>
      <c r="E43" s="2">
        <f t="shared" si="10"/>
        <v>5.9040380406756316</v>
      </c>
      <c r="K43" s="7">
        <f>K42</f>
        <v>-9</v>
      </c>
      <c r="L43" s="2">
        <f>M69</f>
        <v>2.1055450906522251</v>
      </c>
      <c r="M43" s="2">
        <f t="shared" si="3"/>
        <v>3.6605250765246056</v>
      </c>
    </row>
    <row r="44" spans="1:13" x14ac:dyDescent="0.25">
      <c r="A44" s="7">
        <f t="shared" si="6"/>
        <v>16</v>
      </c>
      <c r="B44" s="2">
        <f t="shared" si="11"/>
        <v>1.9138215210736991</v>
      </c>
      <c r="C44" s="2">
        <f t="shared" si="8"/>
        <v>1.0265032432029866</v>
      </c>
      <c r="D44" s="2">
        <f t="shared" si="9"/>
        <v>16.12470873797815</v>
      </c>
      <c r="E44" s="2">
        <f t="shared" si="10"/>
        <v>5.5567416853417706</v>
      </c>
      <c r="K44" s="7">
        <f>-K42</f>
        <v>9</v>
      </c>
      <c r="L44" s="2">
        <f>L42</f>
        <v>0.60554509065222506</v>
      </c>
      <c r="M44" s="2">
        <f t="shared" si="3"/>
        <v>3.4138215210736993</v>
      </c>
    </row>
    <row r="45" spans="1:13" x14ac:dyDescent="0.25">
      <c r="A45" s="7">
        <f t="shared" si="6"/>
        <v>15</v>
      </c>
      <c r="B45" s="2">
        <f t="shared" si="11"/>
        <v>1.682069696256181</v>
      </c>
      <c r="C45" s="2">
        <f t="shared" si="8"/>
        <v>1.0232312939107402</v>
      </c>
      <c r="D45" s="2">
        <f t="shared" si="9"/>
        <v>15.10147744406741</v>
      </c>
      <c r="E45" s="2">
        <f t="shared" si="10"/>
        <v>5.2094453300079095</v>
      </c>
      <c r="K45" s="7">
        <f>K44</f>
        <v>9</v>
      </c>
      <c r="L45" s="2">
        <f>L43</f>
        <v>2.1055450906522251</v>
      </c>
      <c r="M45" s="2">
        <f t="shared" si="3"/>
        <v>3.182069696256181</v>
      </c>
    </row>
    <row r="46" spans="1:13" x14ac:dyDescent="0.25">
      <c r="A46" s="7">
        <f t="shared" si="6"/>
        <v>14</v>
      </c>
      <c r="B46" s="2">
        <f t="shared" si="11"/>
        <v>1.4652696020720508</v>
      </c>
      <c r="C46" s="2">
        <f t="shared" si="8"/>
        <v>1.020168006687189</v>
      </c>
      <c r="D46" s="2">
        <f t="shared" si="9"/>
        <v>14.08130943738022</v>
      </c>
      <c r="E46" s="2">
        <f t="shared" si="10"/>
        <v>4.8621489746740494</v>
      </c>
      <c r="K46" s="1" t="s">
        <v>50</v>
      </c>
      <c r="M46" s="2">
        <f t="shared" si="3"/>
        <v>2.965269602072051</v>
      </c>
    </row>
    <row r="47" spans="1:13" x14ac:dyDescent="0.25">
      <c r="A47" s="7">
        <f t="shared" si="6"/>
        <v>13</v>
      </c>
      <c r="B47" s="2">
        <f t="shared" si="11"/>
        <v>1.2634212385213093</v>
      </c>
      <c r="C47" s="2">
        <f t="shared" si="8"/>
        <v>1.0173152664714338</v>
      </c>
      <c r="D47" s="2">
        <f t="shared" si="9"/>
        <v>13.063994170908787</v>
      </c>
      <c r="E47" s="2">
        <f t="shared" si="10"/>
        <v>4.5148526193401883</v>
      </c>
      <c r="K47">
        <v>-3.75</v>
      </c>
      <c r="L47">
        <v>0</v>
      </c>
      <c r="M47" s="2">
        <f t="shared" si="3"/>
        <v>2.7634212385213095</v>
      </c>
    </row>
    <row r="48" spans="1:13" x14ac:dyDescent="0.25">
      <c r="A48" s="7">
        <f t="shared" si="6"/>
        <v>12</v>
      </c>
      <c r="B48" s="2">
        <f t="shared" si="11"/>
        <v>1.0765246056039557</v>
      </c>
      <c r="C48" s="2">
        <f t="shared" si="8"/>
        <v>1.0146748491124842</v>
      </c>
      <c r="D48" s="2">
        <f t="shared" si="9"/>
        <v>12.049319321796302</v>
      </c>
      <c r="E48" s="2">
        <f t="shared" si="10"/>
        <v>4.1675562640063282</v>
      </c>
      <c r="K48">
        <f>K47</f>
        <v>-3.75</v>
      </c>
      <c r="L48" s="2">
        <f>H15+1</f>
        <v>35.783666751333499</v>
      </c>
      <c r="M48" s="2">
        <f t="shared" si="3"/>
        <v>2.5765246056039555</v>
      </c>
    </row>
    <row r="49" spans="1:13" x14ac:dyDescent="0.25">
      <c r="A49" s="7">
        <f t="shared" si="6"/>
        <v>11</v>
      </c>
      <c r="B49" s="2">
        <f t="shared" si="11"/>
        <v>0.9045797033199906</v>
      </c>
      <c r="C49" s="2">
        <f t="shared" si="8"/>
        <v>1.0122484161236842</v>
      </c>
      <c r="D49" s="2">
        <f t="shared" si="9"/>
        <v>11.037070905672618</v>
      </c>
      <c r="E49" s="2">
        <f t="shared" si="10"/>
        <v>3.8202599086724671</v>
      </c>
      <c r="K49">
        <f>-K47</f>
        <v>3.75</v>
      </c>
      <c r="L49">
        <v>0</v>
      </c>
      <c r="M49" s="2">
        <f t="shared" si="3"/>
        <v>2.4045797033199907</v>
      </c>
    </row>
    <row r="50" spans="1:13" x14ac:dyDescent="0.25">
      <c r="A50" s="7">
        <f t="shared" si="6"/>
        <v>10</v>
      </c>
      <c r="B50" s="2">
        <f t="shared" si="11"/>
        <v>0.74758653166941369</v>
      </c>
      <c r="C50" s="2">
        <f t="shared" si="8"/>
        <v>1.0100375096828036</v>
      </c>
      <c r="D50" s="2">
        <f t="shared" si="9"/>
        <v>10.027033395989815</v>
      </c>
      <c r="E50" s="2">
        <f t="shared" si="10"/>
        <v>3.4729635533386065</v>
      </c>
      <c r="K50">
        <f>K49</f>
        <v>3.75</v>
      </c>
      <c r="L50" s="2">
        <f>H15+1</f>
        <v>35.783666751333499</v>
      </c>
      <c r="M50" s="2">
        <f t="shared" si="3"/>
        <v>2.2475865316694135</v>
      </c>
    </row>
    <row r="51" spans="1:13" x14ac:dyDescent="0.25">
      <c r="A51" s="7">
        <f t="shared" si="6"/>
        <v>9</v>
      </c>
      <c r="B51" s="2">
        <f t="shared" si="11"/>
        <v>0.60554509065222506</v>
      </c>
      <c r="C51" s="2">
        <f t="shared" si="8"/>
        <v>1.0080435479112191</v>
      </c>
      <c r="D51" s="2">
        <f t="shared" si="9"/>
        <v>9.0189898480785953</v>
      </c>
      <c r="E51" s="2">
        <f t="shared" si="10"/>
        <v>3.1256671980047459</v>
      </c>
      <c r="K51" s="1" t="s">
        <v>51</v>
      </c>
      <c r="M51" s="2">
        <f t="shared" si="3"/>
        <v>2.1055450906522251</v>
      </c>
    </row>
    <row r="52" spans="1:13" x14ac:dyDescent="0.25">
      <c r="A52" s="7">
        <f t="shared" si="6"/>
        <v>8</v>
      </c>
      <c r="B52" s="2">
        <f t="shared" si="11"/>
        <v>0.47845538026842477</v>
      </c>
      <c r="C52" s="2">
        <f t="shared" si="8"/>
        <v>1.0062678204645639</v>
      </c>
      <c r="D52" s="2">
        <f t="shared" si="9"/>
        <v>8.0127220276140321</v>
      </c>
      <c r="E52" s="2">
        <f t="shared" si="10"/>
        <v>2.7783708426708853</v>
      </c>
      <c r="K52">
        <f>-K6</f>
        <v>-6.5</v>
      </c>
      <c r="L52" s="2">
        <f>K11</f>
        <v>12</v>
      </c>
      <c r="M52" s="2">
        <f t="shared" si="3"/>
        <v>1.9784553802684248</v>
      </c>
    </row>
    <row r="53" spans="1:13" x14ac:dyDescent="0.25">
      <c r="A53" s="7">
        <f t="shared" si="6"/>
        <v>7</v>
      </c>
      <c r="B53" s="2">
        <f t="shared" si="11"/>
        <v>0.3663174005180127</v>
      </c>
      <c r="C53" s="2">
        <f t="shared" si="8"/>
        <v>1.0047114844657825</v>
      </c>
      <c r="D53" s="2">
        <f t="shared" si="9"/>
        <v>7.0080105431482504</v>
      </c>
      <c r="E53" s="2">
        <f t="shared" si="10"/>
        <v>2.4310744873370247</v>
      </c>
      <c r="K53">
        <f>K6</f>
        <v>6.5</v>
      </c>
      <c r="L53" s="2">
        <f>L52</f>
        <v>12</v>
      </c>
      <c r="M53" s="2">
        <f t="shared" si="3"/>
        <v>1.8663174005180128</v>
      </c>
    </row>
    <row r="54" spans="1:13" x14ac:dyDescent="0.25">
      <c r="A54" s="7">
        <f t="shared" si="6"/>
        <v>6</v>
      </c>
      <c r="B54" s="2">
        <f t="shared" si="11"/>
        <v>0.26913115140098892</v>
      </c>
      <c r="C54" s="2">
        <f t="shared" si="8"/>
        <v>1.0033755608097277</v>
      </c>
      <c r="D54" s="2">
        <f t="shared" si="9"/>
        <v>6.0046349823385228</v>
      </c>
      <c r="E54" s="2">
        <f t="shared" si="10"/>
        <v>2.0837781320031641</v>
      </c>
      <c r="K54" s="1" t="s">
        <v>52</v>
      </c>
      <c r="M54" s="2">
        <f t="shared" si="3"/>
        <v>1.7691311514009889</v>
      </c>
    </row>
    <row r="55" spans="1:13" x14ac:dyDescent="0.25">
      <c r="A55" s="7">
        <f t="shared" si="6"/>
        <v>5</v>
      </c>
      <c r="B55" s="2">
        <f t="shared" si="11"/>
        <v>0.18689663291735342</v>
      </c>
      <c r="C55" s="2">
        <f t="shared" si="8"/>
        <v>1.0022609308662598</v>
      </c>
      <c r="D55" s="2">
        <f t="shared" si="9"/>
        <v>5.0023740514722626</v>
      </c>
      <c r="E55" s="2">
        <f t="shared" si="10"/>
        <v>1.7364817766693033</v>
      </c>
      <c r="K55">
        <f>K52</f>
        <v>-6.5</v>
      </c>
      <c r="L55" s="2">
        <f>L52</f>
        <v>12</v>
      </c>
      <c r="M55" s="2">
        <f t="shared" si="3"/>
        <v>1.6868966329173534</v>
      </c>
    </row>
    <row r="56" spans="1:13" x14ac:dyDescent="0.25">
      <c r="A56" s="7">
        <f t="shared" si="6"/>
        <v>4</v>
      </c>
      <c r="B56" s="2">
        <f t="shared" si="11"/>
        <v>0.11961384506710619</v>
      </c>
      <c r="C56" s="2">
        <f t="shared" si="8"/>
        <v>1.001368333606288</v>
      </c>
      <c r="D56" s="2">
        <f t="shared" si="9"/>
        <v>4.0010057178659748</v>
      </c>
      <c r="E56" s="2">
        <f t="shared" si="10"/>
        <v>1.3891854213354426</v>
      </c>
      <c r="K56">
        <f>-K5</f>
        <v>-22</v>
      </c>
      <c r="L56" s="2">
        <f>K9</f>
        <v>4.6183188132799629</v>
      </c>
      <c r="M56" s="2">
        <f t="shared" si="3"/>
        <v>1.6196138450671063</v>
      </c>
    </row>
    <row r="57" spans="1:13" x14ac:dyDescent="0.25">
      <c r="A57" s="7">
        <f t="shared" si="6"/>
        <v>3</v>
      </c>
      <c r="B57" s="2">
        <f t="shared" si="11"/>
        <v>6.728278785024723E-2</v>
      </c>
      <c r="C57" s="2">
        <f t="shared" si="8"/>
        <v>1.0006983631723567</v>
      </c>
      <c r="D57" s="2">
        <f t="shared" si="9"/>
        <v>3.0003073546936183</v>
      </c>
      <c r="E57" s="2">
        <f t="shared" si="10"/>
        <v>1.041889066001582</v>
      </c>
      <c r="K57">
        <f>-K55</f>
        <v>6.5</v>
      </c>
      <c r="L57" s="2">
        <f>L55</f>
        <v>12</v>
      </c>
      <c r="M57" s="2">
        <f t="shared" si="3"/>
        <v>1.5672827878502473</v>
      </c>
    </row>
    <row r="58" spans="1:13" x14ac:dyDescent="0.25">
      <c r="A58" s="7">
        <f t="shared" si="6"/>
        <v>2</v>
      </c>
      <c r="B58" s="2">
        <f t="shared" si="11"/>
        <v>2.9903461266776548E-2</v>
      </c>
      <c r="C58" s="2">
        <f t="shared" si="8"/>
        <v>1.0002514669122462</v>
      </c>
      <c r="D58" s="2">
        <f t="shared" si="9"/>
        <v>2.0000558877813721</v>
      </c>
      <c r="E58" s="2">
        <f t="shared" si="10"/>
        <v>0.69459271066772132</v>
      </c>
      <c r="K58">
        <f>-K56</f>
        <v>22</v>
      </c>
      <c r="L58" s="2">
        <f>L56</f>
        <v>4.6183188132799629</v>
      </c>
      <c r="M58" s="2">
        <f t="shared" si="3"/>
        <v>1.5299034612667766</v>
      </c>
    </row>
    <row r="59" spans="1:13" x14ac:dyDescent="0.25">
      <c r="A59" s="7">
        <f t="shared" si="6"/>
        <v>1</v>
      </c>
      <c r="B59" s="2">
        <f t="shared" si="11"/>
        <v>7.475865316694137E-3</v>
      </c>
      <c r="C59" s="2">
        <f t="shared" si="8"/>
        <v>1.0000279438906861</v>
      </c>
      <c r="D59" s="2">
        <f t="shared" si="9"/>
        <v>1.0000279438906861</v>
      </c>
      <c r="E59" s="2">
        <f t="shared" si="10"/>
        <v>0.34729635533386066</v>
      </c>
      <c r="K59" s="1" t="s">
        <v>53</v>
      </c>
      <c r="M59" s="2">
        <f t="shared" si="3"/>
        <v>1.5074758653166942</v>
      </c>
    </row>
    <row r="60" spans="1:13" x14ac:dyDescent="0.25">
      <c r="A60" s="7">
        <f t="shared" si="6"/>
        <v>0</v>
      </c>
      <c r="B60" s="2">
        <f t="shared" si="11"/>
        <v>0</v>
      </c>
      <c r="C60" s="2">
        <f t="shared" si="8"/>
        <v>1.0000279438906861</v>
      </c>
      <c r="D60" s="2">
        <f t="shared" si="9"/>
        <v>0</v>
      </c>
      <c r="E60" s="2">
        <f t="shared" si="10"/>
        <v>0</v>
      </c>
      <c r="K60">
        <v>-12</v>
      </c>
      <c r="L60">
        <f>-0.75</f>
        <v>-0.75</v>
      </c>
      <c r="M60" s="2">
        <f t="shared" si="3"/>
        <v>1.5</v>
      </c>
    </row>
    <row r="61" spans="1:13" x14ac:dyDescent="0.25">
      <c r="A61" s="7">
        <f t="shared" si="6"/>
        <v>-1</v>
      </c>
      <c r="B61" s="2">
        <f t="shared" si="11"/>
        <v>7.475865316694137E-3</v>
      </c>
      <c r="C61" s="2">
        <f t="shared" si="8"/>
        <v>1.0002514669122462</v>
      </c>
      <c r="D61" s="2">
        <f t="shared" si="9"/>
        <v>0</v>
      </c>
      <c r="E61" s="2">
        <f t="shared" si="10"/>
        <v>-0.34729635533386066</v>
      </c>
      <c r="K61">
        <f>-K60</f>
        <v>12</v>
      </c>
      <c r="L61">
        <f>L60</f>
        <v>-0.75</v>
      </c>
      <c r="M61" s="2">
        <f t="shared" si="3"/>
        <v>1.5074758653166942</v>
      </c>
    </row>
    <row r="62" spans="1:13" x14ac:dyDescent="0.25">
      <c r="A62" s="7">
        <f t="shared" si="6"/>
        <v>-2</v>
      </c>
      <c r="B62" s="2">
        <f t="shared" si="11"/>
        <v>2.9903461266776548E-2</v>
      </c>
      <c r="C62" s="2">
        <f t="shared" si="8"/>
        <v>1.0006983631723567</v>
      </c>
      <c r="D62" s="2">
        <f t="shared" si="9"/>
        <v>0</v>
      </c>
      <c r="E62" s="2">
        <f t="shared" si="10"/>
        <v>-0.69459271066772132</v>
      </c>
      <c r="M62" s="2">
        <f t="shared" si="3"/>
        <v>1.5299034612667766</v>
      </c>
    </row>
    <row r="63" spans="1:13" x14ac:dyDescent="0.25">
      <c r="A63" s="7">
        <f t="shared" si="6"/>
        <v>-3</v>
      </c>
      <c r="B63" s="2">
        <f t="shared" si="11"/>
        <v>6.728278785024723E-2</v>
      </c>
      <c r="C63" s="2">
        <f t="shared" si="8"/>
        <v>1.001368333606288</v>
      </c>
      <c r="D63" s="2">
        <f t="shared" si="9"/>
        <v>0</v>
      </c>
      <c r="E63" s="2">
        <f t="shared" si="10"/>
        <v>-1.041889066001582</v>
      </c>
      <c r="M63" s="2">
        <f t="shared" si="3"/>
        <v>1.5672827878502473</v>
      </c>
    </row>
    <row r="64" spans="1:13" x14ac:dyDescent="0.25">
      <c r="A64" s="7">
        <f t="shared" si="6"/>
        <v>-4</v>
      </c>
      <c r="B64" s="2">
        <f t="shared" si="11"/>
        <v>0.11961384506710619</v>
      </c>
      <c r="C64" s="2">
        <f t="shared" si="8"/>
        <v>1.0022609308662598</v>
      </c>
      <c r="D64" s="2">
        <f t="shared" si="9"/>
        <v>0</v>
      </c>
      <c r="E64" s="2">
        <f t="shared" si="10"/>
        <v>-1.3891854213354426</v>
      </c>
      <c r="M64" s="2">
        <f t="shared" si="3"/>
        <v>1.6196138450671063</v>
      </c>
    </row>
    <row r="65" spans="1:13" x14ac:dyDescent="0.25">
      <c r="A65" s="7">
        <f t="shared" si="6"/>
        <v>-5</v>
      </c>
      <c r="B65" s="2">
        <f t="shared" si="11"/>
        <v>0.18689663291735342</v>
      </c>
      <c r="C65" s="2">
        <f t="shared" si="8"/>
        <v>1.0033755608097277</v>
      </c>
      <c r="D65" s="2">
        <f t="shared" si="9"/>
        <v>0</v>
      </c>
      <c r="E65" s="2">
        <f t="shared" si="10"/>
        <v>-1.7364817766693033</v>
      </c>
      <c r="M65" s="2">
        <f t="shared" si="3"/>
        <v>1.6868966329173534</v>
      </c>
    </row>
    <row r="66" spans="1:13" x14ac:dyDescent="0.25">
      <c r="A66" s="7">
        <f t="shared" si="6"/>
        <v>-6</v>
      </c>
      <c r="B66" s="2">
        <f t="shared" si="11"/>
        <v>0.26913115140098892</v>
      </c>
      <c r="C66" s="2">
        <f t="shared" si="8"/>
        <v>1.0047114844657825</v>
      </c>
      <c r="D66" s="2">
        <f t="shared" si="9"/>
        <v>0</v>
      </c>
      <c r="E66" s="2">
        <f t="shared" si="10"/>
        <v>-2.0837781320031641</v>
      </c>
      <c r="M66" s="2">
        <f t="shared" si="3"/>
        <v>1.7691311514009889</v>
      </c>
    </row>
    <row r="67" spans="1:13" x14ac:dyDescent="0.25">
      <c r="A67" s="7">
        <f t="shared" si="6"/>
        <v>-7</v>
      </c>
      <c r="B67" s="2">
        <f t="shared" si="11"/>
        <v>0.3663174005180127</v>
      </c>
      <c r="C67" s="2">
        <f t="shared" si="8"/>
        <v>1.0062678204645639</v>
      </c>
      <c r="D67" s="2">
        <f t="shared" si="9"/>
        <v>0</v>
      </c>
      <c r="E67" s="2">
        <f t="shared" si="10"/>
        <v>-2.4310744873370247</v>
      </c>
      <c r="M67" s="2">
        <f t="shared" si="3"/>
        <v>1.8663174005180128</v>
      </c>
    </row>
    <row r="68" spans="1:13" x14ac:dyDescent="0.25">
      <c r="A68" s="7">
        <f t="shared" si="6"/>
        <v>-8</v>
      </c>
      <c r="B68" s="2">
        <f t="shared" si="11"/>
        <v>0.47845538026842477</v>
      </c>
      <c r="C68" s="2">
        <f t="shared" si="8"/>
        <v>1.0080435479112191</v>
      </c>
      <c r="D68" s="2">
        <f t="shared" si="9"/>
        <v>0</v>
      </c>
      <c r="E68" s="2">
        <f t="shared" si="10"/>
        <v>-2.7783708426708853</v>
      </c>
      <c r="M68" s="2">
        <f t="shared" si="3"/>
        <v>1.9784553802684248</v>
      </c>
    </row>
    <row r="69" spans="1:13" x14ac:dyDescent="0.25">
      <c r="A69" s="7">
        <f t="shared" si="6"/>
        <v>-9</v>
      </c>
      <c r="B69" s="2">
        <f t="shared" si="11"/>
        <v>0.60554509065222506</v>
      </c>
      <c r="C69" s="2">
        <f t="shared" si="8"/>
        <v>1.0100375096828036</v>
      </c>
      <c r="D69" s="2">
        <f t="shared" si="9"/>
        <v>0</v>
      </c>
      <c r="E69" s="2">
        <f t="shared" si="10"/>
        <v>-3.1256671980047459</v>
      </c>
      <c r="M69" s="2">
        <f t="shared" si="3"/>
        <v>2.1055450906522251</v>
      </c>
    </row>
    <row r="70" spans="1:13" x14ac:dyDescent="0.25">
      <c r="A70" s="7">
        <f t="shared" si="6"/>
        <v>-10</v>
      </c>
      <c r="B70" s="2">
        <f t="shared" si="11"/>
        <v>0.74758653166941369</v>
      </c>
      <c r="C70" s="2">
        <f t="shared" si="8"/>
        <v>1.0122484161236842</v>
      </c>
      <c r="D70" s="2">
        <f t="shared" si="9"/>
        <v>0</v>
      </c>
      <c r="E70" s="2">
        <f t="shared" si="10"/>
        <v>-3.4729635533386065</v>
      </c>
      <c r="M70" s="2">
        <f t="shared" si="3"/>
        <v>2.2475865316694135</v>
      </c>
    </row>
    <row r="71" spans="1:13" x14ac:dyDescent="0.25">
      <c r="A71" s="7">
        <f t="shared" si="6"/>
        <v>-11</v>
      </c>
      <c r="B71" s="2">
        <f t="shared" si="11"/>
        <v>0.9045797033199906</v>
      </c>
      <c r="C71" s="2">
        <f t="shared" si="8"/>
        <v>1.0146748491124842</v>
      </c>
      <c r="D71" s="2">
        <f t="shared" si="9"/>
        <v>0</v>
      </c>
      <c r="E71" s="2">
        <f t="shared" si="10"/>
        <v>-3.8202599086724671</v>
      </c>
      <c r="M71" s="2">
        <f t="shared" ref="M71:M110" si="15">B71+1.5</f>
        <v>2.4045797033199907</v>
      </c>
    </row>
    <row r="72" spans="1:13" x14ac:dyDescent="0.25">
      <c r="A72" s="7">
        <f t="shared" ref="A72:A110" si="16">A71-1</f>
        <v>-12</v>
      </c>
      <c r="B72" s="2">
        <f t="shared" si="11"/>
        <v>1.0765246056039557</v>
      </c>
      <c r="C72" s="2">
        <f t="shared" si="8"/>
        <v>1.0173152664714338</v>
      </c>
      <c r="D72" s="2">
        <f t="shared" si="9"/>
        <v>0</v>
      </c>
      <c r="E72" s="2">
        <f t="shared" si="10"/>
        <v>-4.1675562640063282</v>
      </c>
      <c r="M72" s="2">
        <f t="shared" si="15"/>
        <v>2.5765246056039555</v>
      </c>
    </row>
    <row r="73" spans="1:13" x14ac:dyDescent="0.25">
      <c r="A73" s="7">
        <f t="shared" si="16"/>
        <v>-13</v>
      </c>
      <c r="B73" s="2">
        <f t="shared" si="11"/>
        <v>1.2634212385213093</v>
      </c>
      <c r="C73" s="2">
        <f t="shared" si="8"/>
        <v>1.020168006687189</v>
      </c>
      <c r="D73" s="2">
        <f t="shared" si="9"/>
        <v>0</v>
      </c>
      <c r="E73" s="2">
        <f t="shared" si="10"/>
        <v>-4.5148526193401883</v>
      </c>
      <c r="M73" s="2">
        <f t="shared" si="15"/>
        <v>2.7634212385213095</v>
      </c>
    </row>
    <row r="74" spans="1:13" x14ac:dyDescent="0.25">
      <c r="A74" s="7">
        <f t="shared" si="16"/>
        <v>-14</v>
      </c>
      <c r="B74" s="2">
        <f t="shared" si="11"/>
        <v>1.4652696020720508</v>
      </c>
      <c r="C74" s="2">
        <f t="shared" si="8"/>
        <v>1.0232312939107402</v>
      </c>
      <c r="D74" s="2">
        <f t="shared" si="9"/>
        <v>0</v>
      </c>
      <c r="E74" s="2">
        <f t="shared" si="10"/>
        <v>-4.8621489746740494</v>
      </c>
      <c r="M74" s="2">
        <f t="shared" si="15"/>
        <v>2.965269602072051</v>
      </c>
    </row>
    <row r="75" spans="1:13" x14ac:dyDescent="0.25">
      <c r="A75" s="7">
        <f t="shared" si="16"/>
        <v>-15</v>
      </c>
      <c r="B75" s="2">
        <f t="shared" si="11"/>
        <v>1.682069696256181</v>
      </c>
      <c r="C75" s="2">
        <f t="shared" si="8"/>
        <v>1.0265032432029866</v>
      </c>
      <c r="D75" s="2">
        <f t="shared" si="9"/>
        <v>0</v>
      </c>
      <c r="E75" s="2">
        <f t="shared" si="10"/>
        <v>-5.2094453300079095</v>
      </c>
      <c r="M75" s="2">
        <f t="shared" si="15"/>
        <v>3.182069696256181</v>
      </c>
    </row>
    <row r="76" spans="1:13" x14ac:dyDescent="0.25">
      <c r="A76" s="7">
        <f t="shared" si="16"/>
        <v>-16</v>
      </c>
      <c r="B76" s="2">
        <f t="shared" si="11"/>
        <v>1.9138215210736991</v>
      </c>
      <c r="C76" s="2">
        <f t="shared" si="8"/>
        <v>1.0299818659918816</v>
      </c>
      <c r="D76" s="2">
        <f t="shared" si="9"/>
        <v>0</v>
      </c>
      <c r="E76" s="2">
        <f t="shared" si="10"/>
        <v>-5.5567416853417706</v>
      </c>
      <c r="M76" s="2">
        <f t="shared" si="15"/>
        <v>3.4138215210736993</v>
      </c>
    </row>
    <row r="77" spans="1:13" x14ac:dyDescent="0.25">
      <c r="A77" s="7">
        <f t="shared" si="16"/>
        <v>-17</v>
      </c>
      <c r="B77" s="2">
        <f t="shared" si="11"/>
        <v>2.1605250765246056</v>
      </c>
      <c r="C77" s="2">
        <f t="shared" si="8"/>
        <v>1.0336650757067563</v>
      </c>
      <c r="D77" s="2">
        <f t="shared" si="9"/>
        <v>0</v>
      </c>
      <c r="E77" s="2">
        <f t="shared" si="10"/>
        <v>-5.9040380406756316</v>
      </c>
      <c r="M77" s="2">
        <f t="shared" si="15"/>
        <v>3.6605250765246056</v>
      </c>
    </row>
    <row r="78" spans="1:13" x14ac:dyDescent="0.25">
      <c r="A78" s="7">
        <f t="shared" si="16"/>
        <v>-18</v>
      </c>
      <c r="B78" s="2">
        <f t="shared" si="11"/>
        <v>2.4221803626089002</v>
      </c>
      <c r="C78" s="2">
        <f t="shared" ref="C78:C110" si="17">SQRT((B79-B78)^2+(A79-A78)^2)</f>
        <v>1.0375506935554797</v>
      </c>
      <c r="D78" s="2">
        <f t="shared" ref="D78:D110" si="18">IF(A78&lt;0.13,0,C79+D79)</f>
        <v>0</v>
      </c>
      <c r="E78" s="2">
        <f t="shared" ref="E78:E110" si="19">2*(A78)*SIN(RADIANS($D$4/2))</f>
        <v>-6.2513343960094918</v>
      </c>
      <c r="M78" s="2">
        <f t="shared" si="15"/>
        <v>3.9221803626089002</v>
      </c>
    </row>
    <row r="79" spans="1:13" x14ac:dyDescent="0.25">
      <c r="A79" s="7">
        <f t="shared" si="16"/>
        <v>-19</v>
      </c>
      <c r="B79" s="2">
        <f t="shared" ref="B79:B110" si="20">A79^2/(4*$B$4*$B$2*100/2.54)</f>
        <v>2.6987873793265837</v>
      </c>
      <c r="C79" s="2">
        <f t="shared" si="17"/>
        <v>1.041636454410523</v>
      </c>
      <c r="D79" s="2">
        <f t="shared" si="18"/>
        <v>0</v>
      </c>
      <c r="E79" s="2">
        <f t="shared" si="19"/>
        <v>-6.5986307513433529</v>
      </c>
      <c r="M79" s="2">
        <f t="shared" si="15"/>
        <v>4.1987873793265837</v>
      </c>
    </row>
    <row r="80" spans="1:13" x14ac:dyDescent="0.25">
      <c r="A80" s="7">
        <f t="shared" si="16"/>
        <v>-20</v>
      </c>
      <c r="B80" s="2">
        <f t="shared" si="20"/>
        <v>2.9903461266776548</v>
      </c>
      <c r="C80" s="2">
        <f t="shared" si="17"/>
        <v>1.0459200127707005</v>
      </c>
      <c r="D80" s="2">
        <f t="shared" si="18"/>
        <v>0</v>
      </c>
      <c r="E80" s="2">
        <f t="shared" si="19"/>
        <v>-6.945927106677213</v>
      </c>
      <c r="M80" s="2">
        <f t="shared" si="15"/>
        <v>4.4903461266776548</v>
      </c>
    </row>
    <row r="81" spans="1:13" x14ac:dyDescent="0.25">
      <c r="A81" s="7">
        <f t="shared" si="16"/>
        <v>-21</v>
      </c>
      <c r="B81" s="2">
        <f t="shared" si="20"/>
        <v>3.2968566046621146</v>
      </c>
      <c r="C81" s="2">
        <f t="shared" si="17"/>
        <v>1.0503989487663554</v>
      </c>
      <c r="D81" s="2">
        <f t="shared" si="18"/>
        <v>0</v>
      </c>
      <c r="E81" s="2">
        <f t="shared" si="19"/>
        <v>-7.2932234620110741</v>
      </c>
      <c r="M81" s="2">
        <f t="shared" si="15"/>
        <v>4.7968566046621142</v>
      </c>
    </row>
    <row r="82" spans="1:13" x14ac:dyDescent="0.25">
      <c r="A82" s="7">
        <f t="shared" si="16"/>
        <v>-22</v>
      </c>
      <c r="B82" s="2">
        <f t="shared" si="20"/>
        <v>3.6183188132799624</v>
      </c>
      <c r="C82" s="2">
        <f t="shared" si="17"/>
        <v>1.055070774177038</v>
      </c>
      <c r="D82" s="2">
        <f t="shared" si="18"/>
        <v>0</v>
      </c>
      <c r="E82" s="2">
        <f t="shared" si="19"/>
        <v>-7.6405198173449342</v>
      </c>
      <c r="M82" s="2">
        <f t="shared" si="15"/>
        <v>5.1183188132799629</v>
      </c>
    </row>
    <row r="83" spans="1:13" x14ac:dyDescent="0.25">
      <c r="A83" s="7">
        <f t="shared" si="16"/>
        <v>-23</v>
      </c>
      <c r="B83" s="2">
        <f t="shared" si="20"/>
        <v>3.9547327525311986</v>
      </c>
      <c r="C83" s="2">
        <f t="shared" si="17"/>
        <v>1.0599329384321776</v>
      </c>
      <c r="D83" s="2">
        <f t="shared" si="18"/>
        <v>0</v>
      </c>
      <c r="E83" s="2">
        <f t="shared" si="19"/>
        <v>-7.9878161726787953</v>
      </c>
      <c r="M83" s="2">
        <f t="shared" si="15"/>
        <v>5.4547327525311982</v>
      </c>
    </row>
    <row r="84" spans="1:13" x14ac:dyDescent="0.25">
      <c r="A84" s="7">
        <f t="shared" si="16"/>
        <v>-24</v>
      </c>
      <c r="B84" s="2">
        <f t="shared" si="20"/>
        <v>4.3060984224158227</v>
      </c>
      <c r="C84" s="2">
        <f t="shared" si="17"/>
        <v>1.0649828345669587</v>
      </c>
      <c r="D84" s="2">
        <f t="shared" si="18"/>
        <v>0</v>
      </c>
      <c r="E84" s="2">
        <f t="shared" si="19"/>
        <v>-8.3351125280126563</v>
      </c>
      <c r="M84" s="2">
        <f t="shared" si="15"/>
        <v>5.8060984224158227</v>
      </c>
    </row>
    <row r="85" spans="1:13" x14ac:dyDescent="0.25">
      <c r="A85" s="7">
        <f t="shared" si="16"/>
        <v>-25</v>
      </c>
      <c r="B85" s="2">
        <f t="shared" si="20"/>
        <v>4.6724158229338357</v>
      </c>
      <c r="C85" s="2">
        <f t="shared" si="17"/>
        <v>1.0702178051074205</v>
      </c>
      <c r="D85" s="2">
        <f t="shared" si="18"/>
        <v>0</v>
      </c>
      <c r="E85" s="2">
        <f t="shared" si="19"/>
        <v>-8.6824088833465165</v>
      </c>
      <c r="M85" s="2">
        <f t="shared" si="15"/>
        <v>6.1724158229338357</v>
      </c>
    </row>
    <row r="86" spans="1:13" x14ac:dyDescent="0.25">
      <c r="A86" s="7">
        <f t="shared" si="16"/>
        <v>-26</v>
      </c>
      <c r="B86" s="2">
        <f t="shared" si="20"/>
        <v>5.0536849540852371</v>
      </c>
      <c r="C86" s="2">
        <f t="shared" si="17"/>
        <v>1.0756351478607793</v>
      </c>
      <c r="D86" s="2">
        <f t="shared" si="18"/>
        <v>0</v>
      </c>
      <c r="E86" s="2">
        <f t="shared" si="19"/>
        <v>-9.0297052386803767</v>
      </c>
      <c r="M86" s="2">
        <f t="shared" si="15"/>
        <v>6.5536849540852371</v>
      </c>
    </row>
    <row r="87" spans="1:13" x14ac:dyDescent="0.25">
      <c r="A87" s="7">
        <f t="shared" si="16"/>
        <v>-27</v>
      </c>
      <c r="B87" s="2">
        <f t="shared" si="20"/>
        <v>5.449905815870026</v>
      </c>
      <c r="C87" s="2">
        <f t="shared" si="17"/>
        <v>1.0812321215890159</v>
      </c>
      <c r="D87" s="2">
        <f t="shared" si="18"/>
        <v>0</v>
      </c>
      <c r="E87" s="2">
        <f t="shared" si="19"/>
        <v>-9.3770015940142386</v>
      </c>
      <c r="M87" s="2">
        <f t="shared" si="15"/>
        <v>6.949905815870026</v>
      </c>
    </row>
    <row r="88" spans="1:13" x14ac:dyDescent="0.25">
      <c r="A88" s="7">
        <f t="shared" si="16"/>
        <v>-28</v>
      </c>
      <c r="B88" s="2">
        <f t="shared" si="20"/>
        <v>5.8610784082882033</v>
      </c>
      <c r="C88" s="2">
        <f t="shared" si="17"/>
        <v>1.0870059515458763</v>
      </c>
      <c r="D88" s="2">
        <f t="shared" si="18"/>
        <v>0</v>
      </c>
      <c r="E88" s="2">
        <f t="shared" si="19"/>
        <v>-9.7242979493480988</v>
      </c>
      <c r="M88" s="2">
        <f t="shared" si="15"/>
        <v>7.3610784082882033</v>
      </c>
    </row>
    <row r="89" spans="1:13" x14ac:dyDescent="0.25">
      <c r="A89" s="7">
        <f t="shared" si="16"/>
        <v>-29</v>
      </c>
      <c r="B89" s="2">
        <f t="shared" si="20"/>
        <v>6.2872027313397698</v>
      </c>
      <c r="C89" s="2">
        <f t="shared" si="17"/>
        <v>1.092953834859594</v>
      </c>
      <c r="D89" s="2">
        <f t="shared" si="18"/>
        <v>0</v>
      </c>
      <c r="E89" s="2">
        <f t="shared" si="19"/>
        <v>-10.071594304681959</v>
      </c>
      <c r="M89" s="2">
        <f t="shared" si="15"/>
        <v>7.7872027313397698</v>
      </c>
    </row>
    <row r="90" spans="1:13" x14ac:dyDescent="0.25">
      <c r="A90" s="7">
        <f t="shared" si="16"/>
        <v>-30</v>
      </c>
      <c r="B90" s="2">
        <f t="shared" si="20"/>
        <v>6.7282787850247239</v>
      </c>
      <c r="C90" s="2">
        <f t="shared" si="17"/>
        <v>1.0990729457457753</v>
      </c>
      <c r="D90" s="2">
        <f t="shared" si="18"/>
        <v>0</v>
      </c>
      <c r="E90" s="2">
        <f t="shared" si="19"/>
        <v>-10.418890660015819</v>
      </c>
      <c r="M90" s="2">
        <f t="shared" si="15"/>
        <v>8.2282787850247239</v>
      </c>
    </row>
    <row r="91" spans="1:13" x14ac:dyDescent="0.25">
      <c r="A91" s="7">
        <f t="shared" si="16"/>
        <v>-31</v>
      </c>
      <c r="B91" s="2">
        <f t="shared" si="20"/>
        <v>7.1843065693430654</v>
      </c>
      <c r="C91" s="2">
        <f t="shared" si="17"/>
        <v>1.1053604405370077</v>
      </c>
      <c r="D91" s="2">
        <f t="shared" si="18"/>
        <v>0</v>
      </c>
      <c r="E91" s="2">
        <f t="shared" si="19"/>
        <v>-10.766187015349681</v>
      </c>
      <c r="M91" s="2">
        <f t="shared" si="15"/>
        <v>8.6843065693430646</v>
      </c>
    </row>
    <row r="92" spans="1:13" x14ac:dyDescent="0.25">
      <c r="A92" s="7">
        <f t="shared" si="16"/>
        <v>-32</v>
      </c>
      <c r="B92" s="2">
        <f t="shared" si="20"/>
        <v>7.6552860842947963</v>
      </c>
      <c r="C92" s="2">
        <f t="shared" si="17"/>
        <v>1.1118134625178382</v>
      </c>
      <c r="D92" s="2">
        <f t="shared" si="18"/>
        <v>0</v>
      </c>
      <c r="E92" s="2">
        <f t="shared" si="19"/>
        <v>-11.113483370683541</v>
      </c>
      <c r="M92" s="2">
        <f t="shared" si="15"/>
        <v>9.1552860842947972</v>
      </c>
    </row>
    <row r="93" spans="1:13" x14ac:dyDescent="0.25">
      <c r="A93" s="7">
        <f t="shared" si="16"/>
        <v>-33</v>
      </c>
      <c r="B93" s="2">
        <f t="shared" si="20"/>
        <v>8.1412173298799146</v>
      </c>
      <c r="C93" s="2">
        <f t="shared" si="17"/>
        <v>1.1184291465557887</v>
      </c>
      <c r="D93" s="2">
        <f t="shared" si="18"/>
        <v>0</v>
      </c>
      <c r="E93" s="2">
        <f t="shared" si="19"/>
        <v>-11.460779726017401</v>
      </c>
      <c r="M93" s="2">
        <f t="shared" si="15"/>
        <v>9.6412173298799146</v>
      </c>
    </row>
    <row r="94" spans="1:13" x14ac:dyDescent="0.25">
      <c r="A94" s="7">
        <f t="shared" si="16"/>
        <v>-34</v>
      </c>
      <c r="B94" s="2">
        <f t="shared" si="20"/>
        <v>8.6421003060984223</v>
      </c>
      <c r="C94" s="2">
        <f t="shared" si="17"/>
        <v>1.1252046235209761</v>
      </c>
      <c r="D94" s="2">
        <f t="shared" si="18"/>
        <v>0</v>
      </c>
      <c r="E94" s="2">
        <f t="shared" si="19"/>
        <v>-11.808076081351263</v>
      </c>
      <c r="M94" s="2">
        <f t="shared" si="15"/>
        <v>10.142100306098422</v>
      </c>
    </row>
    <row r="95" spans="1:13" x14ac:dyDescent="0.25">
      <c r="A95" s="7">
        <f t="shared" si="16"/>
        <v>-35</v>
      </c>
      <c r="B95" s="2">
        <f t="shared" si="20"/>
        <v>9.1579350129503183</v>
      </c>
      <c r="C95" s="2">
        <f t="shared" si="17"/>
        <v>1.1321370244887843</v>
      </c>
      <c r="D95" s="2">
        <f t="shared" si="18"/>
        <v>0</v>
      </c>
      <c r="E95" s="2">
        <f t="shared" si="19"/>
        <v>-12.155372436685123</v>
      </c>
      <c r="M95" s="2">
        <f t="shared" si="15"/>
        <v>10.657935012950318</v>
      </c>
    </row>
    <row r="96" spans="1:13" x14ac:dyDescent="0.25">
      <c r="A96" s="7">
        <f t="shared" si="16"/>
        <v>-36</v>
      </c>
      <c r="B96" s="2">
        <f t="shared" si="20"/>
        <v>9.688721450435601</v>
      </c>
      <c r="C96" s="2">
        <f t="shared" si="17"/>
        <v>1.1392234847217313</v>
      </c>
      <c r="D96" s="2">
        <f t="shared" si="18"/>
        <v>0</v>
      </c>
      <c r="E96" s="2">
        <f t="shared" si="19"/>
        <v>-12.502668792018984</v>
      </c>
      <c r="M96" s="2">
        <f t="shared" si="15"/>
        <v>11.188721450435601</v>
      </c>
    </row>
    <row r="97" spans="1:13" x14ac:dyDescent="0.25">
      <c r="A97" s="7">
        <f t="shared" si="16"/>
        <v>-37</v>
      </c>
      <c r="B97" s="2">
        <f t="shared" si="20"/>
        <v>10.234459618554274</v>
      </c>
      <c r="C97" s="2">
        <f t="shared" si="17"/>
        <v>1.1464611474282924</v>
      </c>
      <c r="D97" s="2">
        <f t="shared" si="18"/>
        <v>0</v>
      </c>
      <c r="E97" s="2">
        <f t="shared" si="19"/>
        <v>-12.849965147352844</v>
      </c>
      <c r="M97" s="2">
        <f t="shared" si="15"/>
        <v>11.734459618554274</v>
      </c>
    </row>
    <row r="98" spans="1:13" x14ac:dyDescent="0.25">
      <c r="A98" s="7">
        <f t="shared" si="16"/>
        <v>-38</v>
      </c>
      <c r="B98" s="2">
        <f t="shared" si="20"/>
        <v>10.795149517306335</v>
      </c>
      <c r="C98" s="2">
        <f t="shared" si="17"/>
        <v>1.1538471672979629</v>
      </c>
      <c r="D98" s="2">
        <f t="shared" si="18"/>
        <v>0</v>
      </c>
      <c r="E98" s="2">
        <f t="shared" si="19"/>
        <v>-13.197261502686706</v>
      </c>
      <c r="M98" s="2">
        <f t="shared" si="15"/>
        <v>12.295149517306335</v>
      </c>
    </row>
    <row r="99" spans="1:13" x14ac:dyDescent="0.25">
      <c r="A99" s="7">
        <f t="shared" si="16"/>
        <v>-39</v>
      </c>
      <c r="B99" s="2">
        <f t="shared" si="20"/>
        <v>11.370791146691783</v>
      </c>
      <c r="C99" s="2">
        <f t="shared" si="17"/>
        <v>1.1613787138131724</v>
      </c>
      <c r="D99" s="2">
        <f t="shared" si="18"/>
        <v>0</v>
      </c>
      <c r="E99" s="2">
        <f t="shared" si="19"/>
        <v>-13.544557858020566</v>
      </c>
      <c r="M99" s="2">
        <f t="shared" si="15"/>
        <v>12.870791146691783</v>
      </c>
    </row>
    <row r="100" spans="1:13" x14ac:dyDescent="0.25">
      <c r="A100" s="7">
        <f t="shared" si="16"/>
        <v>-40</v>
      </c>
      <c r="B100" s="2">
        <f t="shared" si="20"/>
        <v>11.961384506710619</v>
      </c>
      <c r="C100" s="2">
        <f t="shared" si="17"/>
        <v>1.1690529743399198</v>
      </c>
      <c r="D100" s="2">
        <f t="shared" si="18"/>
        <v>0</v>
      </c>
      <c r="E100" s="2">
        <f t="shared" si="19"/>
        <v>-13.891854213354426</v>
      </c>
      <c r="M100" s="2">
        <f t="shared" si="15"/>
        <v>13.461384506710619</v>
      </c>
    </row>
    <row r="101" spans="1:13" x14ac:dyDescent="0.25">
      <c r="A101" s="7">
        <f t="shared" si="16"/>
        <v>-41</v>
      </c>
      <c r="B101" s="2">
        <f t="shared" si="20"/>
        <v>12.566929597362845</v>
      </c>
      <c r="C101" s="2">
        <f t="shared" si="17"/>
        <v>1.1768671570001221</v>
      </c>
      <c r="D101" s="2">
        <f t="shared" si="18"/>
        <v>0</v>
      </c>
      <c r="E101" s="2">
        <f t="shared" si="19"/>
        <v>-14.239150568688288</v>
      </c>
      <c r="M101" s="2">
        <f t="shared" si="15"/>
        <v>14.066929597362845</v>
      </c>
    </row>
    <row r="102" spans="1:13" x14ac:dyDescent="0.25">
      <c r="A102" s="7">
        <f t="shared" si="16"/>
        <v>-42</v>
      </c>
      <c r="B102" s="2">
        <f t="shared" si="20"/>
        <v>13.187426418648458</v>
      </c>
      <c r="C102" s="2">
        <f t="shared" si="17"/>
        <v>1.1848184933296559</v>
      </c>
      <c r="D102" s="2">
        <f t="shared" si="18"/>
        <v>0</v>
      </c>
      <c r="E102" s="2">
        <f t="shared" si="19"/>
        <v>-14.586446924022148</v>
      </c>
      <c r="M102" s="2">
        <f t="shared" si="15"/>
        <v>14.687426418648458</v>
      </c>
    </row>
    <row r="103" spans="1:13" x14ac:dyDescent="0.25">
      <c r="A103" s="7">
        <f t="shared" si="16"/>
        <v>-43</v>
      </c>
      <c r="B103" s="2">
        <f t="shared" si="20"/>
        <v>13.82287497056746</v>
      </c>
      <c r="C103" s="2">
        <f t="shared" si="17"/>
        <v>1.1929042407269028</v>
      </c>
      <c r="D103" s="2">
        <f t="shared" si="18"/>
        <v>0</v>
      </c>
      <c r="E103" s="2">
        <f t="shared" si="19"/>
        <v>-14.933743279356008</v>
      </c>
      <c r="M103" s="2">
        <f t="shared" si="15"/>
        <v>15.32287497056746</v>
      </c>
    </row>
    <row r="104" spans="1:13" x14ac:dyDescent="0.25">
      <c r="A104" s="7">
        <f t="shared" si="16"/>
        <v>-44</v>
      </c>
      <c r="B104" s="2">
        <f t="shared" si="20"/>
        <v>14.47327525311985</v>
      </c>
      <c r="C104" s="2">
        <f t="shared" si="17"/>
        <v>1.2011216846974198</v>
      </c>
      <c r="D104" s="2">
        <f t="shared" si="18"/>
        <v>0</v>
      </c>
      <c r="E104" s="2">
        <f t="shared" si="19"/>
        <v>-15.281039634689868</v>
      </c>
      <c r="M104" s="2">
        <f t="shared" si="15"/>
        <v>15.97327525311985</v>
      </c>
    </row>
    <row r="105" spans="1:13" x14ac:dyDescent="0.25">
      <c r="A105" s="7">
        <f t="shared" si="16"/>
        <v>-45</v>
      </c>
      <c r="B105" s="2">
        <f t="shared" si="20"/>
        <v>15.138627266305628</v>
      </c>
      <c r="C105" s="2">
        <f t="shared" si="17"/>
        <v>1.2094681409009393</v>
      </c>
      <c r="D105" s="2">
        <f t="shared" si="18"/>
        <v>0</v>
      </c>
      <c r="E105" s="2">
        <f t="shared" si="19"/>
        <v>-15.62833599002373</v>
      </c>
      <c r="M105" s="2">
        <f t="shared" si="15"/>
        <v>16.638627266305626</v>
      </c>
    </row>
    <row r="106" spans="1:13" x14ac:dyDescent="0.25">
      <c r="A106" s="7">
        <f t="shared" si="16"/>
        <v>-46</v>
      </c>
      <c r="B106" s="2">
        <f t="shared" si="20"/>
        <v>15.818931010124794</v>
      </c>
      <c r="C106" s="2">
        <f t="shared" si="17"/>
        <v>1.2179409570074589</v>
      </c>
      <c r="D106" s="2">
        <f t="shared" si="18"/>
        <v>0</v>
      </c>
      <c r="E106" s="2">
        <f t="shared" si="19"/>
        <v>-15.975632345357591</v>
      </c>
      <c r="M106" s="2">
        <f t="shared" si="15"/>
        <v>17.318931010124793</v>
      </c>
    </row>
    <row r="107" spans="1:13" x14ac:dyDescent="0.25">
      <c r="A107" s="7">
        <f t="shared" si="16"/>
        <v>-47</v>
      </c>
      <c r="B107" s="2">
        <f t="shared" si="20"/>
        <v>16.514186484577348</v>
      </c>
      <c r="C107" s="2">
        <f t="shared" si="17"/>
        <v>1.2265375143696124</v>
      </c>
      <c r="D107" s="2">
        <f t="shared" si="18"/>
        <v>0</v>
      </c>
      <c r="E107" s="2">
        <f t="shared" si="19"/>
        <v>-16.322928700691453</v>
      </c>
      <c r="M107" s="2">
        <f t="shared" si="15"/>
        <v>18.014186484577348</v>
      </c>
    </row>
    <row r="108" spans="1:13" x14ac:dyDescent="0.25">
      <c r="A108" s="7">
        <f t="shared" si="16"/>
        <v>-48</v>
      </c>
      <c r="B108" s="2">
        <f t="shared" si="20"/>
        <v>17.224393689663291</v>
      </c>
      <c r="C108" s="2">
        <f t="shared" si="17"/>
        <v>1.2352552295188204</v>
      </c>
      <c r="D108" s="2">
        <f t="shared" si="18"/>
        <v>0</v>
      </c>
      <c r="E108" s="2">
        <f t="shared" si="19"/>
        <v>-16.670225056025313</v>
      </c>
      <c r="M108" s="2">
        <f t="shared" si="15"/>
        <v>18.724393689663291</v>
      </c>
    </row>
    <row r="109" spans="1:13" x14ac:dyDescent="0.25">
      <c r="A109" s="7">
        <f t="shared" si="16"/>
        <v>-49</v>
      </c>
      <c r="B109" s="2">
        <f t="shared" si="20"/>
        <v>17.949552625382623</v>
      </c>
      <c r="C109" s="2">
        <f t="shared" si="17"/>
        <v>1.2440915554930303</v>
      </c>
      <c r="D109" s="2">
        <f t="shared" si="18"/>
        <v>0</v>
      </c>
      <c r="E109" s="2">
        <f t="shared" si="19"/>
        <v>-17.017521411359173</v>
      </c>
      <c r="M109" s="2">
        <f t="shared" si="15"/>
        <v>19.449552625382623</v>
      </c>
    </row>
    <row r="110" spans="1:13" x14ac:dyDescent="0.25">
      <c r="A110" s="7">
        <f t="shared" si="16"/>
        <v>-50</v>
      </c>
      <c r="B110" s="2">
        <f t="shared" si="20"/>
        <v>18.689663291735343</v>
      </c>
      <c r="C110" s="2">
        <f t="shared" si="17"/>
        <v>53.378867672126951</v>
      </c>
      <c r="D110" s="2">
        <f t="shared" si="18"/>
        <v>0</v>
      </c>
      <c r="E110" s="2">
        <f t="shared" si="19"/>
        <v>-17.364817766693033</v>
      </c>
      <c r="M110" s="2">
        <f t="shared" si="15"/>
        <v>20.189663291735343</v>
      </c>
    </row>
  </sheetData>
  <sheetProtection sheet="1" objects="1" scenarios="1"/>
  <pageMargins left="0.7" right="0.7" top="0.75" bottom="0.75" header="0.3" footer="0.3"/>
  <pageSetup paperSize="17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AC32A-3C8E-4B54-AB11-D30EECFEEDD0}">
  <dimension ref="A1:X66"/>
  <sheetViews>
    <sheetView zoomScaleNormal="100" workbookViewId="0">
      <selection activeCell="C24" sqref="C24"/>
    </sheetView>
  </sheetViews>
  <sheetFormatPr defaultRowHeight="15" x14ac:dyDescent="0.25"/>
  <cols>
    <col min="1" max="1" width="15.5703125" style="16" customWidth="1"/>
    <col min="2" max="2" width="9.85546875" style="16" customWidth="1"/>
    <col min="3" max="3" width="14.5703125" style="16" bestFit="1" customWidth="1"/>
    <col min="4" max="4" width="9.42578125" style="16" bestFit="1" customWidth="1"/>
    <col min="5" max="5" width="13.28515625" style="16" customWidth="1"/>
    <col min="6" max="6" width="2.42578125" style="16" customWidth="1"/>
    <col min="7" max="7" width="25.140625" style="16" customWidth="1"/>
    <col min="8" max="8" width="11.7109375" style="16" bestFit="1" customWidth="1"/>
    <col min="9" max="9" width="4.42578125" style="16" customWidth="1"/>
    <col min="10" max="10" width="14.42578125" style="16" customWidth="1"/>
    <col min="11" max="11" width="9.140625" style="16"/>
    <col min="12" max="12" width="11.28515625" style="16" bestFit="1" customWidth="1"/>
    <col min="13" max="22" width="9.140625" style="16"/>
    <col min="23" max="23" width="7.28515625" style="16" bestFit="1" customWidth="1"/>
    <col min="24" max="16384" width="9.140625" style="16"/>
  </cols>
  <sheetData>
    <row r="1" spans="1:24" ht="15.75" thickBot="1" x14ac:dyDescent="0.3">
      <c r="A1" s="15" t="s">
        <v>0</v>
      </c>
      <c r="E1" s="16" t="s">
        <v>1</v>
      </c>
      <c r="I1" s="17"/>
    </row>
    <row r="2" spans="1:24" ht="15.75" thickBot="1" x14ac:dyDescent="0.3">
      <c r="A2" s="18" t="s">
        <v>2</v>
      </c>
      <c r="B2" s="30">
        <v>1.54</v>
      </c>
      <c r="C2" s="19">
        <f>A6*2*2.54/100</f>
        <v>1.524</v>
      </c>
      <c r="D2" s="20">
        <f>H9/C2</f>
        <v>0.36377952755905513</v>
      </c>
      <c r="E2" s="21">
        <f>0.588*((H6*2.54/100)/(SQRT(3)))/B3</f>
        <v>1.2970984514711735E-2</v>
      </c>
    </row>
    <row r="3" spans="1:24" ht="15.75" thickBot="1" x14ac:dyDescent="0.3">
      <c r="A3" s="15" t="s">
        <v>3</v>
      </c>
      <c r="B3" s="22">
        <v>0.21099999999999999</v>
      </c>
      <c r="C3" s="18" t="s">
        <v>4</v>
      </c>
      <c r="D3" s="31">
        <v>18</v>
      </c>
      <c r="M3" s="15"/>
      <c r="U3" s="15" t="s">
        <v>5</v>
      </c>
      <c r="V3" s="15" t="s">
        <v>6</v>
      </c>
    </row>
    <row r="4" spans="1:24" ht="15.75" thickBot="1" x14ac:dyDescent="0.3">
      <c r="A4" s="18" t="s">
        <v>7</v>
      </c>
      <c r="B4" s="30">
        <v>0.36</v>
      </c>
      <c r="C4" s="15" t="s">
        <v>8</v>
      </c>
      <c r="D4" s="16">
        <f>360/D3</f>
        <v>20</v>
      </c>
      <c r="G4" s="15" t="s">
        <v>9</v>
      </c>
      <c r="H4" s="19">
        <f>(B3*100/10)/2.54</f>
        <v>0.8307086614173228</v>
      </c>
      <c r="J4" s="15" t="s">
        <v>10</v>
      </c>
      <c r="U4" s="17">
        <f>SUM(V6:V10)</f>
        <v>38.484510006474963</v>
      </c>
      <c r="V4" s="23">
        <f>SUM(X6:X10)/U4</f>
        <v>1.6825135510204078E-2</v>
      </c>
      <c r="W4" s="24">
        <f>V4/W6</f>
        <v>0.58829145140573702</v>
      </c>
    </row>
    <row r="5" spans="1:24" ht="15.75" thickBot="1" x14ac:dyDescent="0.3">
      <c r="A5" s="15" t="s">
        <v>11</v>
      </c>
      <c r="B5" s="15" t="s">
        <v>12</v>
      </c>
      <c r="C5" s="15" t="s">
        <v>13</v>
      </c>
      <c r="D5" s="15" t="s">
        <v>14</v>
      </c>
      <c r="E5" s="15" t="s">
        <v>15</v>
      </c>
      <c r="G5" s="15" t="s">
        <v>16</v>
      </c>
      <c r="H5" s="25">
        <f>ROUNDUP((180/DEGREES(ACOS(SQRT(1-(4*B4*B3)/(5*0.5*B2))))),0)*1.14</f>
        <v>13.68</v>
      </c>
      <c r="J5" s="18" t="s">
        <v>17</v>
      </c>
      <c r="K5" s="31">
        <v>20</v>
      </c>
      <c r="M5" s="15" t="s">
        <v>18</v>
      </c>
      <c r="T5" s="15" t="s">
        <v>19</v>
      </c>
      <c r="U5" s="15" t="s">
        <v>20</v>
      </c>
      <c r="V5" s="15" t="s">
        <v>21</v>
      </c>
      <c r="W5" s="15" t="s">
        <v>22</v>
      </c>
      <c r="X5" s="15" t="s">
        <v>23</v>
      </c>
    </row>
    <row r="6" spans="1:24" x14ac:dyDescent="0.25">
      <c r="A6" s="26">
        <f>ROUND((B2/2)*100/2.54,0)</f>
        <v>30</v>
      </c>
      <c r="B6" s="17">
        <f>A6^2/(4*$B$4*$B$2*100/2.54)</f>
        <v>10.308441558441558</v>
      </c>
      <c r="C6" s="17">
        <f t="shared" ref="C6:C9" si="0">SQRT((B7-B6)^2+(A7-A6)^2)</f>
        <v>1.2069269569853973</v>
      </c>
      <c r="D6" s="17">
        <f t="shared" ref="D6:D9" si="1">IF(A6&lt;0.13,0,C7+D7)</f>
        <v>32.009822796406297</v>
      </c>
      <c r="E6" s="17">
        <f>2*(A6)*SIN(RADIANS($D$4/2))</f>
        <v>10.418890660015819</v>
      </c>
      <c r="G6" s="15" t="s">
        <v>24</v>
      </c>
      <c r="H6" s="19">
        <f>(B2*0.5)*(1-(COS(RADIANS(180/D3)))^2)*(100/2.54)/(8*B4)</f>
        <v>0.31739858100154944</v>
      </c>
      <c r="J6" s="15" t="s">
        <v>25</v>
      </c>
      <c r="K6" s="20">
        <v>4.25</v>
      </c>
      <c r="M6" s="17">
        <f>B6+1.5</f>
        <v>11.808441558441558</v>
      </c>
      <c r="S6" s="17">
        <f>T6^2</f>
        <v>12.25</v>
      </c>
      <c r="T6" s="17">
        <v>3.5</v>
      </c>
      <c r="U6" s="17">
        <f>PI()*T6^2</f>
        <v>38.484510006474963</v>
      </c>
      <c r="V6" s="17">
        <f>U6-U7</f>
        <v>7.7066409385211223</v>
      </c>
      <c r="W6" s="23">
        <v>2.86E-2</v>
      </c>
      <c r="X6" s="17">
        <f>W6*V6</f>
        <v>0.2204099308417041</v>
      </c>
    </row>
    <row r="7" spans="1:24" ht="15.75" thickBot="1" x14ac:dyDescent="0.3">
      <c r="A7" s="26">
        <f>A6-1</f>
        <v>29</v>
      </c>
      <c r="B7" s="17">
        <f>A7^2/(4*$B$4*$B$2*100/2.54)</f>
        <v>9.6326659451659449</v>
      </c>
      <c r="C7" s="17">
        <f t="shared" si="0"/>
        <v>1.1942514727659779</v>
      </c>
      <c r="D7" s="17">
        <f t="shared" si="1"/>
        <v>30.815571323640317</v>
      </c>
      <c r="E7" s="17">
        <f t="shared" ref="E7:E9" si="2">2*(A7)*SIN(RADIANS($D$4/2))</f>
        <v>10.071594304681959</v>
      </c>
      <c r="G7" s="15" t="s">
        <v>26</v>
      </c>
      <c r="H7" s="17">
        <f>H6*100/(B3*100/2.54)</f>
        <v>3.8208170414404532</v>
      </c>
      <c r="J7" s="15" t="s">
        <v>27</v>
      </c>
      <c r="K7" s="20">
        <f>K5-K6</f>
        <v>15.75</v>
      </c>
      <c r="M7" s="17">
        <f t="shared" ref="M7:M66" si="3">B7+1.5</f>
        <v>11.132665945165945</v>
      </c>
      <c r="S7" s="17">
        <f>4*S10</f>
        <v>9.8000000000000007</v>
      </c>
      <c r="T7" s="17">
        <v>3.13</v>
      </c>
      <c r="U7" s="17">
        <f t="shared" ref="U7:U10" si="4">PI()*T7^2</f>
        <v>30.777869067953841</v>
      </c>
      <c r="V7" s="17">
        <f>U7-U8</f>
        <v>7.7056984607250421</v>
      </c>
      <c r="W7" s="23">
        <v>2.2499999999999999E-2</v>
      </c>
      <c r="X7" s="17">
        <f t="shared" ref="X7:X10" si="5">W7*V7</f>
        <v>0.17337821536631343</v>
      </c>
    </row>
    <row r="8" spans="1:24" ht="15.75" thickBot="1" x14ac:dyDescent="0.3">
      <c r="A8" s="26">
        <f t="shared" ref="A8:A66" si="6">A7-1</f>
        <v>28</v>
      </c>
      <c r="B8" s="17">
        <f t="shared" ref="B8:B9" si="7">A8^2/(4*$B$4*$B$2*100/2.54)</f>
        <v>8.9797979797979792</v>
      </c>
      <c r="C8" s="17">
        <f t="shared" si="0"/>
        <v>1.1818840897375269</v>
      </c>
      <c r="D8" s="17">
        <f t="shared" si="1"/>
        <v>29.633687233902791</v>
      </c>
      <c r="E8" s="17">
        <f t="shared" si="2"/>
        <v>9.7242979493480988</v>
      </c>
      <c r="G8" s="18" t="s">
        <v>28</v>
      </c>
      <c r="H8" s="27">
        <f>I8*B3/B2</f>
        <v>11.516614821788977</v>
      </c>
      <c r="I8" s="16">
        <f>(360/(2*PI()))*(1/(H16*0.7))</f>
        <v>84.05491386518969</v>
      </c>
      <c r="J8" s="15" t="s">
        <v>29</v>
      </c>
      <c r="K8" s="19">
        <f>K5^2/(4*$B$4*$B$2*100/2.54)</f>
        <v>4.5815295815295816</v>
      </c>
      <c r="M8" s="17">
        <f t="shared" si="3"/>
        <v>10.479797979797979</v>
      </c>
      <c r="S8" s="17">
        <f>S9+S10</f>
        <v>7.3500000000000005</v>
      </c>
      <c r="T8" s="17">
        <v>2.71</v>
      </c>
      <c r="U8" s="17">
        <f t="shared" si="4"/>
        <v>23.072170607228799</v>
      </c>
      <c r="V8" s="17">
        <f>U8-U9</f>
        <v>7.72831792783089</v>
      </c>
      <c r="W8" s="23">
        <v>1.6799999999999999E-2</v>
      </c>
      <c r="X8" s="17">
        <f t="shared" si="5"/>
        <v>0.12983574118755895</v>
      </c>
    </row>
    <row r="9" spans="1:24" x14ac:dyDescent="0.25">
      <c r="A9" s="26">
        <f t="shared" si="6"/>
        <v>27</v>
      </c>
      <c r="B9" s="17">
        <f t="shared" si="7"/>
        <v>8.3498376623376629</v>
      </c>
      <c r="C9" s="17">
        <f t="shared" si="0"/>
        <v>1.1698345795927834</v>
      </c>
      <c r="D9" s="17">
        <f t="shared" si="1"/>
        <v>28.463852654310006</v>
      </c>
      <c r="E9" s="17">
        <f t="shared" si="2"/>
        <v>9.3770015940142386</v>
      </c>
      <c r="G9" s="15" t="s">
        <v>30</v>
      </c>
      <c r="H9" s="17">
        <f>B4*B2</f>
        <v>0.5544</v>
      </c>
      <c r="J9" s="15" t="s">
        <v>31</v>
      </c>
      <c r="K9" s="19">
        <f>K8+1</f>
        <v>5.5815295815295816</v>
      </c>
      <c r="M9" s="17">
        <f t="shared" si="3"/>
        <v>9.8498376623376629</v>
      </c>
      <c r="S9" s="17">
        <f>2*S10</f>
        <v>4.9000000000000004</v>
      </c>
      <c r="T9" s="17">
        <v>2.21</v>
      </c>
      <c r="U9" s="17">
        <f t="shared" si="4"/>
        <v>15.343852679397909</v>
      </c>
      <c r="V9" s="17">
        <f>U9-U10</f>
        <v>7.6001409475644275</v>
      </c>
      <c r="W9" s="23">
        <v>1.09E-2</v>
      </c>
      <c r="X9" s="17">
        <f t="shared" si="5"/>
        <v>8.2841536328452259E-2</v>
      </c>
    </row>
    <row r="10" spans="1:24" ht="15.75" thickBot="1" x14ac:dyDescent="0.3">
      <c r="A10" s="26">
        <f t="shared" si="6"/>
        <v>26</v>
      </c>
      <c r="B10" s="17">
        <f t="shared" ref="B10:B12" si="8">A10^2/(4*$B$4*$B$2*100/2.54)</f>
        <v>7.7427849927849923</v>
      </c>
      <c r="C10" s="17">
        <f t="shared" ref="C10:C12" si="9">SQRT((B11-B10)^2+(A11-A10)^2)</f>
        <v>1.1581128642376193</v>
      </c>
      <c r="D10" s="17">
        <f t="shared" ref="D10:D12" si="10">IF(A10&lt;0.13,0,C11+D11)</f>
        <v>27.305739790072387</v>
      </c>
      <c r="E10" s="17">
        <f t="shared" ref="E10:E12" si="11">2*(A10)*SIN(RADIANS($D$4/2))</f>
        <v>9.0297052386803767</v>
      </c>
      <c r="G10" s="15" t="s">
        <v>32</v>
      </c>
      <c r="H10" s="17">
        <f>H9*100/2.54</f>
        <v>21.826771653543307</v>
      </c>
      <c r="J10" s="15" t="s">
        <v>33</v>
      </c>
      <c r="K10" s="19">
        <f>K11-K9</f>
        <v>6.4184704184704184</v>
      </c>
      <c r="M10" s="17">
        <f t="shared" si="3"/>
        <v>9.2427849927849923</v>
      </c>
      <c r="S10" s="17">
        <f>S6/5</f>
        <v>2.4500000000000002</v>
      </c>
      <c r="T10" s="17">
        <v>1.57</v>
      </c>
      <c r="U10" s="17">
        <f t="shared" si="4"/>
        <v>7.7437117318334812</v>
      </c>
      <c r="V10" s="17">
        <f>U10-S11</f>
        <v>7.7437117318334812</v>
      </c>
      <c r="W10" s="23">
        <v>5.3E-3</v>
      </c>
      <c r="X10" s="17">
        <f t="shared" si="5"/>
        <v>4.1041672178717452E-2</v>
      </c>
    </row>
    <row r="11" spans="1:24" ht="15.75" thickBot="1" x14ac:dyDescent="0.3">
      <c r="A11" s="26">
        <f t="shared" si="6"/>
        <v>25</v>
      </c>
      <c r="B11" s="17">
        <f t="shared" si="8"/>
        <v>7.1586399711399711</v>
      </c>
      <c r="C11" s="17">
        <f t="shared" si="9"/>
        <v>1.1467289957438176</v>
      </c>
      <c r="D11" s="17">
        <f t="shared" si="10"/>
        <v>26.159010794328569</v>
      </c>
      <c r="E11" s="17">
        <f t="shared" si="11"/>
        <v>8.6824088833465165</v>
      </c>
      <c r="G11" s="15" t="s">
        <v>34</v>
      </c>
      <c r="H11" s="17">
        <f>0.73*B3*100</f>
        <v>15.403</v>
      </c>
      <c r="J11" s="18" t="s">
        <v>35</v>
      </c>
      <c r="K11" s="30">
        <v>12</v>
      </c>
      <c r="L11" s="15"/>
      <c r="M11" s="17">
        <f t="shared" si="3"/>
        <v>8.6586399711399711</v>
      </c>
    </row>
    <row r="12" spans="1:24" ht="15.75" thickBot="1" x14ac:dyDescent="0.3">
      <c r="A12" s="26">
        <f t="shared" si="6"/>
        <v>24</v>
      </c>
      <c r="B12" s="17">
        <f t="shared" si="8"/>
        <v>6.5974025974025974</v>
      </c>
      <c r="C12" s="17">
        <f t="shared" si="9"/>
        <v>1.1356931336025187</v>
      </c>
      <c r="D12" s="17">
        <f t="shared" si="10"/>
        <v>25.02331766072605</v>
      </c>
      <c r="E12" s="17">
        <f t="shared" si="11"/>
        <v>8.3351125280126563</v>
      </c>
      <c r="G12" s="15" t="s">
        <v>36</v>
      </c>
      <c r="H12" s="17">
        <f>H11/2.54</f>
        <v>6.0641732283464567</v>
      </c>
      <c r="J12" s="18" t="s">
        <v>37</v>
      </c>
      <c r="K12" s="27">
        <f>SQRT(K7^2+K10^2)</f>
        <v>17.007623658606157</v>
      </c>
      <c r="L12" s="28" t="s">
        <v>38</v>
      </c>
      <c r="M12" s="17">
        <f t="shared" si="3"/>
        <v>8.0974025974025974</v>
      </c>
    </row>
    <row r="13" spans="1:24" ht="15.75" thickBot="1" x14ac:dyDescent="0.3">
      <c r="A13" s="26">
        <f t="shared" si="6"/>
        <v>23</v>
      </c>
      <c r="B13" s="17">
        <f>A13^2/(4*$B$4*$B$2*100/2.54)</f>
        <v>6.0590728715728712</v>
      </c>
      <c r="C13" s="17">
        <f>SQRT((B14-B13)^2+(A14-A13)^2)</f>
        <v>1.1250155191860742</v>
      </c>
      <c r="D13" s="17">
        <f>IF(A13&lt;0.13,0,C14+D14)</f>
        <v>23.898302141539975</v>
      </c>
      <c r="E13" s="17">
        <f>2*(A13)*SIN(RADIANS($D$4/2))</f>
        <v>7.9878161726787953</v>
      </c>
      <c r="G13" s="15" t="s">
        <v>39</v>
      </c>
      <c r="H13" s="17">
        <f>H11*B4-H11/(16*B4)</f>
        <v>2.8709480555555551</v>
      </c>
      <c r="J13" s="18" t="s">
        <v>40</v>
      </c>
      <c r="K13" s="27">
        <f>H15</f>
        <v>22.696477143482067</v>
      </c>
      <c r="L13" s="29">
        <f>K12+K7</f>
        <v>32.757623658606157</v>
      </c>
      <c r="M13" s="17">
        <f t="shared" si="3"/>
        <v>7.5590728715728712</v>
      </c>
    </row>
    <row r="14" spans="1:24" ht="15.75" thickBot="1" x14ac:dyDescent="0.3">
      <c r="A14" s="26">
        <f t="shared" si="6"/>
        <v>22</v>
      </c>
      <c r="B14" s="17">
        <f>A14^2/(4*$B$4*$B$2*100/2.54)</f>
        <v>5.5436507936507935</v>
      </c>
      <c r="C14" s="17">
        <f t="shared" ref="C14:C30" si="12">SQRT((B15-B14)^2+(A15-A14)^2)</f>
        <v>1.1147064473539385</v>
      </c>
      <c r="D14" s="17">
        <f t="shared" ref="D14:D30" si="13">IF(A14&lt;0.13,0,C15+D15)</f>
        <v>22.783595694186037</v>
      </c>
      <c r="E14" s="17">
        <f t="shared" ref="E14:E30" si="14">2*(A14)*SIN(RADIANS($D$4/2))</f>
        <v>7.6405198173449342</v>
      </c>
      <c r="G14" s="15" t="s">
        <v>41</v>
      </c>
      <c r="H14" s="17">
        <f>H13/2.54</f>
        <v>1.130294510061242</v>
      </c>
      <c r="M14" s="17">
        <f t="shared" si="3"/>
        <v>7.0436507936507935</v>
      </c>
      <c r="U14" s="15" t="s">
        <v>5</v>
      </c>
      <c r="V14" s="15" t="s">
        <v>6</v>
      </c>
    </row>
    <row r="15" spans="1:24" ht="15.75" thickBot="1" x14ac:dyDescent="0.3">
      <c r="A15" s="26">
        <f t="shared" si="6"/>
        <v>21</v>
      </c>
      <c r="B15" s="17">
        <f t="shared" ref="B15:B30" si="15">A15^2/(4*$B$4*$B$2*100/2.54)</f>
        <v>5.0511363636363633</v>
      </c>
      <c r="C15" s="17">
        <f t="shared" si="12"/>
        <v>1.1047762351719403</v>
      </c>
      <c r="D15" s="17">
        <f t="shared" si="13"/>
        <v>21.678819459014097</v>
      </c>
      <c r="E15" s="17">
        <f t="shared" si="14"/>
        <v>7.2932234620110741</v>
      </c>
      <c r="G15" s="18" t="s">
        <v>42</v>
      </c>
      <c r="H15" s="27">
        <f>H10-H14+2</f>
        <v>22.696477143482067</v>
      </c>
      <c r="K15" s="15" t="s">
        <v>43</v>
      </c>
      <c r="M15" s="17">
        <f t="shared" si="3"/>
        <v>6.5511363636363633</v>
      </c>
      <c r="U15" s="17">
        <f>SUM(V17:V21)</f>
        <v>23.585821006090733</v>
      </c>
      <c r="V15" s="23">
        <f>SUM(X17:X21)/U15</f>
        <v>2.6780000000000002E-2</v>
      </c>
      <c r="W15" s="24">
        <f>V15/W17</f>
        <v>0.58728070175438596</v>
      </c>
    </row>
    <row r="16" spans="1:24" x14ac:dyDescent="0.25">
      <c r="A16" s="26">
        <f t="shared" si="6"/>
        <v>20</v>
      </c>
      <c r="B16" s="17">
        <f t="shared" si="15"/>
        <v>4.5815295815295816</v>
      </c>
      <c r="C16" s="17">
        <f t="shared" si="12"/>
        <v>1.0952351877538706</v>
      </c>
      <c r="D16" s="17">
        <f t="shared" si="13"/>
        <v>20.583584271260225</v>
      </c>
      <c r="E16" s="17">
        <f t="shared" si="14"/>
        <v>6.945927106677213</v>
      </c>
      <c r="G16" s="15" t="s">
        <v>44</v>
      </c>
      <c r="H16" s="21">
        <f>EXP(-((4*PI()*E2)^2))</f>
        <v>0.97378142248046773</v>
      </c>
      <c r="K16" s="16">
        <v>0</v>
      </c>
      <c r="L16" s="17">
        <f>H15</f>
        <v>22.696477143482067</v>
      </c>
      <c r="M16" s="17">
        <f t="shared" si="3"/>
        <v>6.0815295815295816</v>
      </c>
      <c r="T16" s="15" t="s">
        <v>19</v>
      </c>
      <c r="U16" s="15" t="s">
        <v>20</v>
      </c>
      <c r="V16" s="15" t="s">
        <v>21</v>
      </c>
      <c r="W16" s="15" t="s">
        <v>22</v>
      </c>
      <c r="X16" s="15" t="s">
        <v>23</v>
      </c>
    </row>
    <row r="17" spans="1:24" x14ac:dyDescent="0.25">
      <c r="A17" s="26">
        <f t="shared" si="6"/>
        <v>19</v>
      </c>
      <c r="B17" s="17">
        <f t="shared" si="15"/>
        <v>4.1348304473304474</v>
      </c>
      <c r="C17" s="17">
        <f t="shared" si="12"/>
        <v>1.0860935612796656</v>
      </c>
      <c r="D17" s="17">
        <f t="shared" si="13"/>
        <v>19.497490709980561</v>
      </c>
      <c r="E17" s="17">
        <f t="shared" si="14"/>
        <v>6.5986307513433529</v>
      </c>
      <c r="K17" s="15" t="s">
        <v>45</v>
      </c>
      <c r="M17" s="17">
        <f t="shared" si="3"/>
        <v>5.6348304473304474</v>
      </c>
      <c r="S17" s="17">
        <f>T17^2</f>
        <v>7.5076000000000009</v>
      </c>
      <c r="T17" s="17">
        <v>2.74</v>
      </c>
      <c r="U17" s="17">
        <f>PI()*T17^2</f>
        <v>23.585821006090733</v>
      </c>
      <c r="V17" s="17">
        <f>U17-U18</f>
        <v>4.7171642012181501</v>
      </c>
      <c r="W17" s="23">
        <v>4.5600000000000002E-2</v>
      </c>
      <c r="X17" s="17">
        <f>W17*V17</f>
        <v>0.21510268757554765</v>
      </c>
    </row>
    <row r="18" spans="1:24" x14ac:dyDescent="0.25">
      <c r="A18" s="26">
        <f t="shared" si="6"/>
        <v>18</v>
      </c>
      <c r="B18" s="17">
        <f t="shared" si="15"/>
        <v>3.7110389610389611</v>
      </c>
      <c r="C18" s="17">
        <f t="shared" si="12"/>
        <v>1.0773615232953884</v>
      </c>
      <c r="D18" s="17">
        <f t="shared" si="13"/>
        <v>18.420129186685173</v>
      </c>
      <c r="E18" s="17">
        <f t="shared" si="14"/>
        <v>6.2513343960094918</v>
      </c>
      <c r="K18" s="16">
        <f>K16-3</f>
        <v>-3</v>
      </c>
      <c r="L18" s="17">
        <f>L16</f>
        <v>22.696477143482067</v>
      </c>
      <c r="M18" s="17">
        <f t="shared" si="3"/>
        <v>5.2110389610389607</v>
      </c>
      <c r="S18" s="17">
        <f>4*S21</f>
        <v>6.0060800000000008</v>
      </c>
      <c r="T18" s="17">
        <f>SQRT(S18)</f>
        <v>2.4507305033397695</v>
      </c>
      <c r="U18" s="17">
        <f>PI()*T18^2</f>
        <v>18.868656804872582</v>
      </c>
      <c r="V18" s="17">
        <f>U18-U19</f>
        <v>4.7171642012181429</v>
      </c>
      <c r="W18" s="23">
        <v>3.61E-2</v>
      </c>
      <c r="X18" s="17">
        <f t="shared" ref="X18:X21" si="16">W18*V18</f>
        <v>0.17028962766397496</v>
      </c>
    </row>
    <row r="19" spans="1:24" x14ac:dyDescent="0.25">
      <c r="A19" s="26">
        <f t="shared" si="6"/>
        <v>17</v>
      </c>
      <c r="B19" s="17">
        <f t="shared" si="15"/>
        <v>3.3101551226551225</v>
      </c>
      <c r="C19" s="17">
        <f t="shared" si="12"/>
        <v>1.06904911045606</v>
      </c>
      <c r="D19" s="17">
        <f t="shared" si="13"/>
        <v>17.351080076229113</v>
      </c>
      <c r="E19" s="17">
        <f t="shared" si="14"/>
        <v>5.9040380406756316</v>
      </c>
      <c r="K19" s="16">
        <f>K18+6</f>
        <v>3</v>
      </c>
      <c r="L19" s="17">
        <f>L16</f>
        <v>22.696477143482067</v>
      </c>
      <c r="M19" s="17">
        <f t="shared" si="3"/>
        <v>4.8101551226551225</v>
      </c>
      <c r="S19" s="17">
        <f>S20+S21</f>
        <v>4.5045600000000006</v>
      </c>
      <c r="T19" s="17">
        <f t="shared" ref="T19:T21" si="17">SQRT(S19)</f>
        <v>2.1223948737216647</v>
      </c>
      <c r="U19" s="17">
        <f t="shared" ref="U19:U21" si="18">PI()*T19^2</f>
        <v>14.15149260365444</v>
      </c>
      <c r="V19" s="17">
        <f>U19-U20</f>
        <v>4.7171642012181465</v>
      </c>
      <c r="W19" s="23">
        <v>2.6700000000000002E-2</v>
      </c>
      <c r="X19" s="17">
        <f t="shared" si="16"/>
        <v>0.12594828417252452</v>
      </c>
    </row>
    <row r="20" spans="1:24" x14ac:dyDescent="0.25">
      <c r="A20" s="26">
        <f t="shared" si="6"/>
        <v>16</v>
      </c>
      <c r="B20" s="17">
        <f t="shared" si="15"/>
        <v>2.9321789321789322</v>
      </c>
      <c r="C20" s="17">
        <f t="shared" si="12"/>
        <v>1.0611661839324456</v>
      </c>
      <c r="D20" s="17">
        <f t="shared" si="13"/>
        <v>16.289913892296667</v>
      </c>
      <c r="E20" s="17">
        <f t="shared" si="14"/>
        <v>5.5567416853417706</v>
      </c>
      <c r="K20" s="16">
        <f>K18</f>
        <v>-3</v>
      </c>
      <c r="L20" s="17">
        <f>L18+1.5</f>
        <v>24.196477143482067</v>
      </c>
      <c r="M20" s="17">
        <f t="shared" si="3"/>
        <v>4.4321789321789318</v>
      </c>
      <c r="S20" s="17">
        <f>2*S21</f>
        <v>3.0030400000000004</v>
      </c>
      <c r="T20" s="17">
        <f t="shared" si="17"/>
        <v>1.7329281577722719</v>
      </c>
      <c r="U20" s="17">
        <f t="shared" si="18"/>
        <v>9.434328402436293</v>
      </c>
      <c r="V20" s="17">
        <f>U20-U21</f>
        <v>4.7171642012181474</v>
      </c>
      <c r="W20" s="23">
        <v>1.72E-2</v>
      </c>
      <c r="X20" s="17">
        <f t="shared" si="16"/>
        <v>8.1135224260952141E-2</v>
      </c>
    </row>
    <row r="21" spans="1:24" x14ac:dyDescent="0.25">
      <c r="A21" s="26">
        <f t="shared" si="6"/>
        <v>15</v>
      </c>
      <c r="B21" s="17">
        <f t="shared" si="15"/>
        <v>2.5771103896103895</v>
      </c>
      <c r="C21" s="17">
        <f t="shared" si="12"/>
        <v>1.0537223827659379</v>
      </c>
      <c r="D21" s="17">
        <f t="shared" si="13"/>
        <v>15.236191509530729</v>
      </c>
      <c r="E21" s="17">
        <f t="shared" si="14"/>
        <v>5.2094453300079095</v>
      </c>
      <c r="K21" s="16">
        <f>K19</f>
        <v>3</v>
      </c>
      <c r="L21" s="17">
        <f>L20</f>
        <v>24.196477143482067</v>
      </c>
      <c r="M21" s="17">
        <f t="shared" si="3"/>
        <v>4.0771103896103895</v>
      </c>
      <c r="S21" s="17">
        <f>S17/5</f>
        <v>1.5015200000000002</v>
      </c>
      <c r="T21" s="17">
        <f t="shared" si="17"/>
        <v>1.2253652516698847</v>
      </c>
      <c r="U21" s="17">
        <f t="shared" si="18"/>
        <v>4.7171642012181456</v>
      </c>
      <c r="V21" s="17">
        <f>U21-U22</f>
        <v>4.7171642012181456</v>
      </c>
      <c r="W21" s="23">
        <v>8.3000000000000001E-3</v>
      </c>
      <c r="X21" s="17">
        <f t="shared" si="16"/>
        <v>3.9152462870110608E-2</v>
      </c>
    </row>
    <row r="22" spans="1:24" x14ac:dyDescent="0.25">
      <c r="A22" s="26">
        <f t="shared" si="6"/>
        <v>14</v>
      </c>
      <c r="B22" s="17">
        <f t="shared" si="15"/>
        <v>2.2449494949494948</v>
      </c>
      <c r="C22" s="17">
        <f t="shared" si="12"/>
        <v>1.046727075520369</v>
      </c>
      <c r="D22" s="17">
        <f t="shared" si="13"/>
        <v>14.189464434010359</v>
      </c>
      <c r="E22" s="17">
        <f t="shared" si="14"/>
        <v>4.8621489746740494</v>
      </c>
      <c r="K22" s="16">
        <f>K18</f>
        <v>-3</v>
      </c>
      <c r="L22" s="17">
        <f>L18</f>
        <v>22.696477143482067</v>
      </c>
      <c r="M22" s="17">
        <f t="shared" si="3"/>
        <v>3.7449494949494948</v>
      </c>
    </row>
    <row r="23" spans="1:24" x14ac:dyDescent="0.25">
      <c r="A23" s="26">
        <f t="shared" si="6"/>
        <v>13</v>
      </c>
      <c r="B23" s="17">
        <f t="shared" si="15"/>
        <v>1.9356962481962481</v>
      </c>
      <c r="C23" s="17">
        <f t="shared" si="12"/>
        <v>1.0401893106440983</v>
      </c>
      <c r="D23" s="17">
        <f t="shared" si="13"/>
        <v>13.149275123366261</v>
      </c>
      <c r="E23" s="17">
        <f t="shared" si="14"/>
        <v>4.5148526193401883</v>
      </c>
      <c r="K23" s="16">
        <f>K22</f>
        <v>-3</v>
      </c>
      <c r="L23" s="17">
        <f>L20</f>
        <v>24.196477143482067</v>
      </c>
      <c r="M23" s="17">
        <f t="shared" si="3"/>
        <v>3.4356962481962481</v>
      </c>
    </row>
    <row r="24" spans="1:24" x14ac:dyDescent="0.25">
      <c r="A24" s="26">
        <f t="shared" si="6"/>
        <v>12</v>
      </c>
      <c r="B24" s="17">
        <f t="shared" si="15"/>
        <v>1.6493506493506493</v>
      </c>
      <c r="C24" s="17">
        <f t="shared" si="12"/>
        <v>1.0341177660181582</v>
      </c>
      <c r="D24" s="17">
        <f t="shared" si="13"/>
        <v>12.115157357348103</v>
      </c>
      <c r="E24" s="17">
        <f t="shared" si="14"/>
        <v>4.1675562640063282</v>
      </c>
      <c r="K24" s="16">
        <f>K19</f>
        <v>3</v>
      </c>
      <c r="L24" s="17">
        <f>L22</f>
        <v>22.696477143482067</v>
      </c>
      <c r="M24" s="17">
        <f t="shared" si="3"/>
        <v>3.1493506493506493</v>
      </c>
    </row>
    <row r="25" spans="1:24" x14ac:dyDescent="0.25">
      <c r="A25" s="26">
        <f t="shared" si="6"/>
        <v>11</v>
      </c>
      <c r="B25" s="17">
        <f t="shared" si="15"/>
        <v>1.3859126984126984</v>
      </c>
      <c r="C25" s="17">
        <f t="shared" si="12"/>
        <v>1.0285206982243233</v>
      </c>
      <c r="D25" s="17">
        <f t="shared" si="13"/>
        <v>11.08663665912378</v>
      </c>
      <c r="E25" s="17">
        <f t="shared" si="14"/>
        <v>3.8202599086724671</v>
      </c>
      <c r="K25" s="16">
        <f>K19</f>
        <v>3</v>
      </c>
      <c r="L25" s="17">
        <f>L23</f>
        <v>24.196477143482067</v>
      </c>
      <c r="M25" s="17">
        <f t="shared" si="3"/>
        <v>2.8859126984126986</v>
      </c>
    </row>
    <row r="26" spans="1:24" x14ac:dyDescent="0.25">
      <c r="A26" s="26">
        <f t="shared" si="6"/>
        <v>10</v>
      </c>
      <c r="B26" s="17">
        <f t="shared" si="15"/>
        <v>1.1453823953823954</v>
      </c>
      <c r="C26" s="17">
        <f t="shared" si="12"/>
        <v>1.0234058921183882</v>
      </c>
      <c r="D26" s="17">
        <f t="shared" si="13"/>
        <v>10.063230767005392</v>
      </c>
      <c r="E26" s="17">
        <f t="shared" si="14"/>
        <v>3.4729635533386065</v>
      </c>
      <c r="K26" s="15" t="s">
        <v>46</v>
      </c>
      <c r="M26" s="17">
        <f t="shared" si="3"/>
        <v>2.6453823953823954</v>
      </c>
    </row>
    <row r="27" spans="1:24" x14ac:dyDescent="0.25">
      <c r="A27" s="26">
        <f t="shared" si="6"/>
        <v>9</v>
      </c>
      <c r="B27" s="17">
        <f t="shared" si="15"/>
        <v>0.92775974025974028</v>
      </c>
      <c r="C27" s="17">
        <f t="shared" si="12"/>
        <v>1.0187806113362878</v>
      </c>
      <c r="D27" s="17">
        <f t="shared" si="13"/>
        <v>9.0444501556691037</v>
      </c>
      <c r="E27" s="17">
        <f t="shared" si="14"/>
        <v>3.1256671980047459</v>
      </c>
      <c r="K27" s="26">
        <f>A21</f>
        <v>15</v>
      </c>
      <c r="L27" s="17">
        <f>B21</f>
        <v>2.5771103896103895</v>
      </c>
      <c r="M27" s="17">
        <f t="shared" si="3"/>
        <v>2.4277597402597402</v>
      </c>
    </row>
    <row r="28" spans="1:24" x14ac:dyDescent="0.25">
      <c r="A28" s="26">
        <f t="shared" si="6"/>
        <v>8</v>
      </c>
      <c r="B28" s="17">
        <f t="shared" si="15"/>
        <v>0.73304473304473305</v>
      </c>
      <c r="C28" s="17">
        <f t="shared" si="12"/>
        <v>1.0146515503916447</v>
      </c>
      <c r="D28" s="17">
        <f t="shared" si="13"/>
        <v>8.0297986052774597</v>
      </c>
      <c r="E28" s="17">
        <f t="shared" si="14"/>
        <v>2.7783708426708853</v>
      </c>
      <c r="K28" s="26">
        <f>K27</f>
        <v>15</v>
      </c>
      <c r="L28" s="17">
        <f>M21</f>
        <v>4.0771103896103895</v>
      </c>
      <c r="M28" s="17">
        <f t="shared" si="3"/>
        <v>2.2330447330447329</v>
      </c>
    </row>
    <row r="29" spans="1:24" x14ac:dyDescent="0.25">
      <c r="A29" s="26">
        <f t="shared" si="6"/>
        <v>7</v>
      </c>
      <c r="B29" s="17">
        <f t="shared" si="15"/>
        <v>0.5612373737373737</v>
      </c>
      <c r="C29" s="17">
        <f t="shared" si="12"/>
        <v>1.011024789040762</v>
      </c>
      <c r="D29" s="17">
        <f t="shared" si="13"/>
        <v>7.0187738162366973</v>
      </c>
      <c r="E29" s="17">
        <f t="shared" si="14"/>
        <v>2.4310744873370247</v>
      </c>
      <c r="K29" s="26">
        <f>-K27</f>
        <v>-15</v>
      </c>
      <c r="L29" s="17">
        <f>L27</f>
        <v>2.5771103896103895</v>
      </c>
      <c r="M29" s="17">
        <f t="shared" si="3"/>
        <v>2.0612373737373737</v>
      </c>
    </row>
    <row r="30" spans="1:24" x14ac:dyDescent="0.25">
      <c r="A30" s="26">
        <f t="shared" si="6"/>
        <v>6</v>
      </c>
      <c r="B30" s="17">
        <f t="shared" si="15"/>
        <v>0.41233766233766234</v>
      </c>
      <c r="C30" s="17">
        <f t="shared" si="12"/>
        <v>1.0079057495931791</v>
      </c>
      <c r="D30" s="17">
        <f t="shared" si="13"/>
        <v>6.0108680666435177</v>
      </c>
      <c r="E30" s="17">
        <f t="shared" si="14"/>
        <v>2.0837781320031641</v>
      </c>
      <c r="K30" s="26">
        <f>-K28</f>
        <v>-15</v>
      </c>
      <c r="L30" s="17">
        <f>L28</f>
        <v>4.0771103896103895</v>
      </c>
      <c r="M30" s="17">
        <f t="shared" si="3"/>
        <v>1.9123376623376624</v>
      </c>
    </row>
    <row r="31" spans="1:24" x14ac:dyDescent="0.25">
      <c r="A31" s="26">
        <f t="shared" si="6"/>
        <v>5</v>
      </c>
      <c r="B31" s="17">
        <f t="shared" ref="B31:B66" si="19">A31^2/(4*$B$4*$B$2*100/2.54)</f>
        <v>0.28634559884559885</v>
      </c>
      <c r="C31" s="17">
        <f t="shared" ref="C31:C66" si="20">SQRT((B32-B31)^2+(A32-A31)^2)</f>
        <v>1.0052991578313295</v>
      </c>
      <c r="D31" s="17">
        <f t="shared" ref="D31:D66" si="21">IF(A31&lt;0.13,0,C32+D32)</f>
        <v>5.0055689088121884</v>
      </c>
      <c r="E31" s="17">
        <f t="shared" ref="E31:E66" si="22">2*(A31)*SIN(RADIANS($D$4/2))</f>
        <v>1.7364817766693033</v>
      </c>
      <c r="K31" s="15" t="s">
        <v>47</v>
      </c>
      <c r="M31" s="17">
        <f t="shared" si="3"/>
        <v>1.7863455988455987</v>
      </c>
    </row>
    <row r="32" spans="1:24" x14ac:dyDescent="0.25">
      <c r="A32" s="26">
        <f t="shared" si="6"/>
        <v>4</v>
      </c>
      <c r="B32" s="17">
        <f t="shared" si="19"/>
        <v>0.18326118326118326</v>
      </c>
      <c r="C32" s="17">
        <f t="shared" si="20"/>
        <v>1.0032090081708269</v>
      </c>
      <c r="D32" s="17">
        <f t="shared" si="21"/>
        <v>4.0023599006413617</v>
      </c>
      <c r="E32" s="17">
        <f t="shared" si="22"/>
        <v>1.3891854213354426</v>
      </c>
      <c r="K32" s="26">
        <f>A6</f>
        <v>30</v>
      </c>
      <c r="L32" s="17">
        <f>B6</f>
        <v>10.308441558441558</v>
      </c>
      <c r="M32" s="17">
        <f t="shared" si="3"/>
        <v>1.6832611832611832</v>
      </c>
    </row>
    <row r="33" spans="1:13" x14ac:dyDescent="0.25">
      <c r="A33" s="26">
        <f t="shared" si="6"/>
        <v>3</v>
      </c>
      <c r="B33" s="17">
        <f t="shared" si="19"/>
        <v>0.10308441558441558</v>
      </c>
      <c r="C33" s="17">
        <f t="shared" si="20"/>
        <v>1.0016385336433149</v>
      </c>
      <c r="D33" s="17">
        <f t="shared" si="21"/>
        <v>3.0007213669980466</v>
      </c>
      <c r="E33" s="17">
        <f t="shared" si="22"/>
        <v>1.041889066001582</v>
      </c>
      <c r="K33" s="26">
        <f>K32</f>
        <v>30</v>
      </c>
      <c r="L33" s="17">
        <f>M6</f>
        <v>11.808441558441558</v>
      </c>
      <c r="M33" s="17">
        <f t="shared" si="3"/>
        <v>1.6030844155844155</v>
      </c>
    </row>
    <row r="34" spans="1:13" x14ac:dyDescent="0.25">
      <c r="A34" s="26">
        <f t="shared" si="6"/>
        <v>2</v>
      </c>
      <c r="B34" s="17">
        <f t="shared" si="19"/>
        <v>4.5815295815295816E-2</v>
      </c>
      <c r="C34" s="17">
        <f t="shared" si="20"/>
        <v>1.0005901812173088</v>
      </c>
      <c r="D34" s="17">
        <f t="shared" si="21"/>
        <v>2.000131185780738</v>
      </c>
      <c r="E34" s="17">
        <f t="shared" si="22"/>
        <v>0.69459271066772132</v>
      </c>
      <c r="K34" s="26">
        <f>-K32</f>
        <v>-30</v>
      </c>
      <c r="L34" s="17">
        <f>L32</f>
        <v>10.308441558441558</v>
      </c>
      <c r="M34" s="17">
        <f t="shared" si="3"/>
        <v>1.5458152958152958</v>
      </c>
    </row>
    <row r="35" spans="1:13" x14ac:dyDescent="0.25">
      <c r="A35" s="26">
        <f t="shared" si="6"/>
        <v>1</v>
      </c>
      <c r="B35" s="17">
        <f t="shared" si="19"/>
        <v>1.1453823953823954E-2</v>
      </c>
      <c r="C35" s="17">
        <f t="shared" si="20"/>
        <v>1.000065592890369</v>
      </c>
      <c r="D35" s="17">
        <f t="shared" si="21"/>
        <v>1.000065592890369</v>
      </c>
      <c r="E35" s="17">
        <f t="shared" si="22"/>
        <v>0.34729635533386066</v>
      </c>
      <c r="K35" s="26">
        <f>K34</f>
        <v>-30</v>
      </c>
      <c r="L35" s="17">
        <f>L33</f>
        <v>11.808441558441558</v>
      </c>
      <c r="M35" s="17">
        <f t="shared" si="3"/>
        <v>1.511453823953824</v>
      </c>
    </row>
    <row r="36" spans="1:13" x14ac:dyDescent="0.25">
      <c r="A36" s="26">
        <f t="shared" si="6"/>
        <v>0</v>
      </c>
      <c r="B36" s="17">
        <f t="shared" si="19"/>
        <v>0</v>
      </c>
      <c r="C36" s="17">
        <f t="shared" si="20"/>
        <v>1.000065592890369</v>
      </c>
      <c r="D36" s="17">
        <f t="shared" si="21"/>
        <v>0</v>
      </c>
      <c r="E36" s="17">
        <f t="shared" si="22"/>
        <v>0</v>
      </c>
      <c r="K36" s="15" t="s">
        <v>48</v>
      </c>
      <c r="M36" s="17">
        <f t="shared" si="3"/>
        <v>1.5</v>
      </c>
    </row>
    <row r="37" spans="1:13" x14ac:dyDescent="0.25">
      <c r="A37" s="26">
        <f t="shared" si="6"/>
        <v>-1</v>
      </c>
      <c r="B37" s="17">
        <f t="shared" si="19"/>
        <v>1.1453823953823954E-2</v>
      </c>
      <c r="C37" s="17">
        <f t="shared" si="20"/>
        <v>1.0005901812173088</v>
      </c>
      <c r="D37" s="17">
        <f t="shared" si="21"/>
        <v>0</v>
      </c>
      <c r="E37" s="17">
        <f t="shared" si="22"/>
        <v>-0.34729635533386066</v>
      </c>
      <c r="K37" s="26">
        <f>A25</f>
        <v>11</v>
      </c>
      <c r="L37" s="17">
        <f>B25</f>
        <v>1.3859126984126984</v>
      </c>
      <c r="M37" s="17">
        <f t="shared" si="3"/>
        <v>1.511453823953824</v>
      </c>
    </row>
    <row r="38" spans="1:13" x14ac:dyDescent="0.25">
      <c r="A38" s="26">
        <f t="shared" si="6"/>
        <v>-2</v>
      </c>
      <c r="B38" s="17">
        <f t="shared" si="19"/>
        <v>4.5815295815295816E-2</v>
      </c>
      <c r="C38" s="17">
        <f t="shared" si="20"/>
        <v>1.0016385336433149</v>
      </c>
      <c r="D38" s="17">
        <f t="shared" si="21"/>
        <v>0</v>
      </c>
      <c r="E38" s="17">
        <f t="shared" si="22"/>
        <v>-0.69459271066772132</v>
      </c>
      <c r="K38" s="26">
        <f>K37</f>
        <v>11</v>
      </c>
      <c r="L38" s="17">
        <f>M25</f>
        <v>2.8859126984126986</v>
      </c>
      <c r="M38" s="17">
        <f t="shared" si="3"/>
        <v>1.5458152958152958</v>
      </c>
    </row>
    <row r="39" spans="1:13" x14ac:dyDescent="0.25">
      <c r="A39" s="26">
        <f t="shared" si="6"/>
        <v>-3</v>
      </c>
      <c r="B39" s="17">
        <f t="shared" si="19"/>
        <v>0.10308441558441558</v>
      </c>
      <c r="C39" s="17">
        <f t="shared" si="20"/>
        <v>1.0032090081708269</v>
      </c>
      <c r="D39" s="17">
        <f t="shared" si="21"/>
        <v>0</v>
      </c>
      <c r="E39" s="17">
        <f t="shared" si="22"/>
        <v>-1.041889066001582</v>
      </c>
      <c r="K39" s="26">
        <f>-K37</f>
        <v>-11</v>
      </c>
      <c r="L39" s="17">
        <f>L37</f>
        <v>1.3859126984126984</v>
      </c>
      <c r="M39" s="17">
        <f t="shared" si="3"/>
        <v>1.6030844155844155</v>
      </c>
    </row>
    <row r="40" spans="1:13" x14ac:dyDescent="0.25">
      <c r="A40" s="26">
        <f t="shared" si="6"/>
        <v>-4</v>
      </c>
      <c r="B40" s="17">
        <f t="shared" si="19"/>
        <v>0.18326118326118326</v>
      </c>
      <c r="C40" s="17">
        <f t="shared" si="20"/>
        <v>1.0052991578313295</v>
      </c>
      <c r="D40" s="17">
        <f t="shared" si="21"/>
        <v>0</v>
      </c>
      <c r="E40" s="17">
        <f t="shared" si="22"/>
        <v>-1.3891854213354426</v>
      </c>
      <c r="K40" s="26">
        <f>K39</f>
        <v>-11</v>
      </c>
      <c r="L40" s="17">
        <f>L38</f>
        <v>2.8859126984126986</v>
      </c>
      <c r="M40" s="17">
        <f t="shared" si="3"/>
        <v>1.6832611832611832</v>
      </c>
    </row>
    <row r="41" spans="1:13" x14ac:dyDescent="0.25">
      <c r="A41" s="26">
        <f t="shared" si="6"/>
        <v>-5</v>
      </c>
      <c r="B41" s="17">
        <f t="shared" si="19"/>
        <v>0.28634559884559885</v>
      </c>
      <c r="C41" s="17">
        <f t="shared" si="20"/>
        <v>1.0079057495931791</v>
      </c>
      <c r="D41" s="17">
        <f t="shared" si="21"/>
        <v>0</v>
      </c>
      <c r="E41" s="17">
        <f t="shared" si="22"/>
        <v>-1.7364817766693033</v>
      </c>
      <c r="K41" s="15" t="s">
        <v>49</v>
      </c>
      <c r="M41" s="17">
        <f t="shared" si="3"/>
        <v>1.7863455988455987</v>
      </c>
    </row>
    <row r="42" spans="1:13" x14ac:dyDescent="0.25">
      <c r="A42" s="26">
        <f t="shared" si="6"/>
        <v>-6</v>
      </c>
      <c r="B42" s="17">
        <f t="shared" si="19"/>
        <v>0.41233766233766234</v>
      </c>
      <c r="C42" s="17">
        <f t="shared" si="20"/>
        <v>1.011024789040762</v>
      </c>
      <c r="D42" s="17">
        <f t="shared" si="21"/>
        <v>0</v>
      </c>
      <c r="E42" s="17">
        <f t="shared" si="22"/>
        <v>-2.0837781320031641</v>
      </c>
      <c r="K42" s="26">
        <f>A69</f>
        <v>0</v>
      </c>
      <c r="L42" s="17">
        <f>B69</f>
        <v>0</v>
      </c>
      <c r="M42" s="17">
        <f t="shared" si="3"/>
        <v>1.9123376623376624</v>
      </c>
    </row>
    <row r="43" spans="1:13" x14ac:dyDescent="0.25">
      <c r="A43" s="26">
        <f t="shared" si="6"/>
        <v>-7</v>
      </c>
      <c r="B43" s="17">
        <f t="shared" si="19"/>
        <v>0.5612373737373737</v>
      </c>
      <c r="C43" s="17">
        <f t="shared" si="20"/>
        <v>1.0146515503916447</v>
      </c>
      <c r="D43" s="17">
        <f t="shared" si="21"/>
        <v>0</v>
      </c>
      <c r="E43" s="17">
        <f t="shared" si="22"/>
        <v>-2.4310744873370247</v>
      </c>
      <c r="K43" s="26">
        <f>K42</f>
        <v>0</v>
      </c>
      <c r="L43" s="17">
        <f>M69</f>
        <v>0</v>
      </c>
      <c r="M43" s="17">
        <f t="shared" si="3"/>
        <v>2.0612373737373737</v>
      </c>
    </row>
    <row r="44" spans="1:13" x14ac:dyDescent="0.25">
      <c r="A44" s="26">
        <f t="shared" si="6"/>
        <v>-8</v>
      </c>
      <c r="B44" s="17">
        <f t="shared" si="19"/>
        <v>0.73304473304473305</v>
      </c>
      <c r="C44" s="17">
        <f t="shared" si="20"/>
        <v>1.0187806113362878</v>
      </c>
      <c r="D44" s="17">
        <f t="shared" si="21"/>
        <v>0</v>
      </c>
      <c r="E44" s="17">
        <f t="shared" si="22"/>
        <v>-2.7783708426708853</v>
      </c>
      <c r="K44" s="26">
        <f>-K42</f>
        <v>0</v>
      </c>
      <c r="L44" s="17">
        <f>L42</f>
        <v>0</v>
      </c>
      <c r="M44" s="17">
        <f t="shared" si="3"/>
        <v>2.2330447330447329</v>
      </c>
    </row>
    <row r="45" spans="1:13" x14ac:dyDescent="0.25">
      <c r="A45" s="26">
        <f t="shared" si="6"/>
        <v>-9</v>
      </c>
      <c r="B45" s="17">
        <f t="shared" si="19"/>
        <v>0.92775974025974028</v>
      </c>
      <c r="C45" s="17">
        <f t="shared" si="20"/>
        <v>1.0234058921183882</v>
      </c>
      <c r="D45" s="17">
        <f t="shared" si="21"/>
        <v>0</v>
      </c>
      <c r="E45" s="17">
        <f t="shared" si="22"/>
        <v>-3.1256671980047459</v>
      </c>
      <c r="K45" s="26">
        <f>K44</f>
        <v>0</v>
      </c>
      <c r="L45" s="17">
        <f>L43</f>
        <v>0</v>
      </c>
      <c r="M45" s="17">
        <f t="shared" si="3"/>
        <v>2.4277597402597402</v>
      </c>
    </row>
    <row r="46" spans="1:13" x14ac:dyDescent="0.25">
      <c r="A46" s="26">
        <f t="shared" si="6"/>
        <v>-10</v>
      </c>
      <c r="B46" s="17">
        <f t="shared" si="19"/>
        <v>1.1453823953823954</v>
      </c>
      <c r="C46" s="17">
        <f t="shared" si="20"/>
        <v>1.0285206982243233</v>
      </c>
      <c r="D46" s="17">
        <f t="shared" si="21"/>
        <v>0</v>
      </c>
      <c r="E46" s="17">
        <f t="shared" si="22"/>
        <v>-3.4729635533386065</v>
      </c>
      <c r="K46" s="15" t="s">
        <v>50</v>
      </c>
      <c r="M46" s="17">
        <f t="shared" si="3"/>
        <v>2.6453823953823954</v>
      </c>
    </row>
    <row r="47" spans="1:13" x14ac:dyDescent="0.25">
      <c r="A47" s="26">
        <f t="shared" si="6"/>
        <v>-11</v>
      </c>
      <c r="B47" s="17">
        <f t="shared" si="19"/>
        <v>1.3859126984126984</v>
      </c>
      <c r="C47" s="17">
        <f t="shared" si="20"/>
        <v>1.0341177660181582</v>
      </c>
      <c r="D47" s="17">
        <f t="shared" si="21"/>
        <v>0</v>
      </c>
      <c r="E47" s="17">
        <f t="shared" si="22"/>
        <v>-3.8202599086724671</v>
      </c>
      <c r="K47" s="16">
        <v>-3.75</v>
      </c>
      <c r="L47" s="16">
        <v>0</v>
      </c>
      <c r="M47" s="17">
        <f t="shared" si="3"/>
        <v>2.8859126984126986</v>
      </c>
    </row>
    <row r="48" spans="1:13" x14ac:dyDescent="0.25">
      <c r="A48" s="26">
        <f t="shared" si="6"/>
        <v>-12</v>
      </c>
      <c r="B48" s="17">
        <f t="shared" si="19"/>
        <v>1.6493506493506493</v>
      </c>
      <c r="C48" s="17">
        <f t="shared" si="20"/>
        <v>1.0401893106440983</v>
      </c>
      <c r="D48" s="17">
        <f t="shared" si="21"/>
        <v>0</v>
      </c>
      <c r="E48" s="17">
        <f t="shared" si="22"/>
        <v>-4.1675562640063282</v>
      </c>
      <c r="K48" s="16">
        <f>K47</f>
        <v>-3.75</v>
      </c>
      <c r="L48" s="17">
        <f>H15+1</f>
        <v>23.696477143482067</v>
      </c>
      <c r="M48" s="17">
        <f t="shared" si="3"/>
        <v>3.1493506493506493</v>
      </c>
    </row>
    <row r="49" spans="1:13" x14ac:dyDescent="0.25">
      <c r="A49" s="26">
        <f t="shared" si="6"/>
        <v>-13</v>
      </c>
      <c r="B49" s="17">
        <f t="shared" si="19"/>
        <v>1.9356962481962481</v>
      </c>
      <c r="C49" s="17">
        <f t="shared" si="20"/>
        <v>1.046727075520369</v>
      </c>
      <c r="D49" s="17">
        <f t="shared" si="21"/>
        <v>0</v>
      </c>
      <c r="E49" s="17">
        <f t="shared" si="22"/>
        <v>-4.5148526193401883</v>
      </c>
      <c r="K49" s="16">
        <f>-K47</f>
        <v>3.75</v>
      </c>
      <c r="L49" s="16">
        <v>0</v>
      </c>
      <c r="M49" s="17">
        <f t="shared" si="3"/>
        <v>3.4356962481962481</v>
      </c>
    </row>
    <row r="50" spans="1:13" x14ac:dyDescent="0.25">
      <c r="A50" s="26">
        <f t="shared" si="6"/>
        <v>-14</v>
      </c>
      <c r="B50" s="17">
        <f t="shared" si="19"/>
        <v>2.2449494949494948</v>
      </c>
      <c r="C50" s="17">
        <f t="shared" si="20"/>
        <v>1.0537223827659379</v>
      </c>
      <c r="D50" s="17">
        <f t="shared" si="21"/>
        <v>0</v>
      </c>
      <c r="E50" s="17">
        <f t="shared" si="22"/>
        <v>-4.8621489746740494</v>
      </c>
      <c r="K50" s="16">
        <f>K49</f>
        <v>3.75</v>
      </c>
      <c r="L50" s="17">
        <f>H15+1</f>
        <v>23.696477143482067</v>
      </c>
      <c r="M50" s="17">
        <f t="shared" si="3"/>
        <v>3.7449494949494948</v>
      </c>
    </row>
    <row r="51" spans="1:13" x14ac:dyDescent="0.25">
      <c r="A51" s="26">
        <f t="shared" si="6"/>
        <v>-15</v>
      </c>
      <c r="B51" s="17">
        <f t="shared" si="19"/>
        <v>2.5771103896103895</v>
      </c>
      <c r="C51" s="17">
        <f t="shared" si="20"/>
        <v>1.0611661839324456</v>
      </c>
      <c r="D51" s="17">
        <f t="shared" si="21"/>
        <v>0</v>
      </c>
      <c r="E51" s="17">
        <f t="shared" si="22"/>
        <v>-5.2094453300079095</v>
      </c>
      <c r="K51" s="15" t="s">
        <v>51</v>
      </c>
      <c r="M51" s="17">
        <f t="shared" si="3"/>
        <v>4.0771103896103895</v>
      </c>
    </row>
    <row r="52" spans="1:13" x14ac:dyDescent="0.25">
      <c r="A52" s="26">
        <f t="shared" si="6"/>
        <v>-16</v>
      </c>
      <c r="B52" s="17">
        <f t="shared" si="19"/>
        <v>2.9321789321789322</v>
      </c>
      <c r="C52" s="17">
        <f t="shared" si="20"/>
        <v>1.06904911045606</v>
      </c>
      <c r="D52" s="17">
        <f t="shared" si="21"/>
        <v>0</v>
      </c>
      <c r="E52" s="17">
        <f t="shared" si="22"/>
        <v>-5.5567416853417706</v>
      </c>
      <c r="K52" s="16">
        <f>-K6</f>
        <v>-4.25</v>
      </c>
      <c r="L52" s="17">
        <f>K11</f>
        <v>12</v>
      </c>
      <c r="M52" s="17">
        <f t="shared" si="3"/>
        <v>4.4321789321789318</v>
      </c>
    </row>
    <row r="53" spans="1:13" x14ac:dyDescent="0.25">
      <c r="A53" s="26">
        <f t="shared" si="6"/>
        <v>-17</v>
      </c>
      <c r="B53" s="17">
        <f t="shared" si="19"/>
        <v>3.3101551226551225</v>
      </c>
      <c r="C53" s="17">
        <f t="shared" si="20"/>
        <v>1.0773615232953884</v>
      </c>
      <c r="D53" s="17">
        <f t="shared" si="21"/>
        <v>0</v>
      </c>
      <c r="E53" s="17">
        <f t="shared" si="22"/>
        <v>-5.9040380406756316</v>
      </c>
      <c r="K53" s="16">
        <f>K6</f>
        <v>4.25</v>
      </c>
      <c r="L53" s="17">
        <f>L52</f>
        <v>12</v>
      </c>
      <c r="M53" s="17">
        <f t="shared" si="3"/>
        <v>4.8101551226551225</v>
      </c>
    </row>
    <row r="54" spans="1:13" x14ac:dyDescent="0.25">
      <c r="A54" s="26">
        <f t="shared" si="6"/>
        <v>-18</v>
      </c>
      <c r="B54" s="17">
        <f t="shared" si="19"/>
        <v>3.7110389610389611</v>
      </c>
      <c r="C54" s="17">
        <f t="shared" si="20"/>
        <v>1.0860935612796656</v>
      </c>
      <c r="D54" s="17">
        <f t="shared" si="21"/>
        <v>0</v>
      </c>
      <c r="E54" s="17">
        <f t="shared" si="22"/>
        <v>-6.2513343960094918</v>
      </c>
      <c r="K54" s="15" t="s">
        <v>52</v>
      </c>
      <c r="M54" s="17">
        <f t="shared" si="3"/>
        <v>5.2110389610389607</v>
      </c>
    </row>
    <row r="55" spans="1:13" x14ac:dyDescent="0.25">
      <c r="A55" s="26">
        <f t="shared" si="6"/>
        <v>-19</v>
      </c>
      <c r="B55" s="17">
        <f t="shared" si="19"/>
        <v>4.1348304473304474</v>
      </c>
      <c r="C55" s="17">
        <f t="shared" si="20"/>
        <v>1.0952351877538706</v>
      </c>
      <c r="D55" s="17">
        <f t="shared" si="21"/>
        <v>0</v>
      </c>
      <c r="E55" s="17">
        <f t="shared" si="22"/>
        <v>-6.5986307513433529</v>
      </c>
      <c r="K55" s="16">
        <f>K52</f>
        <v>-4.25</v>
      </c>
      <c r="L55" s="17">
        <f>L52</f>
        <v>12</v>
      </c>
      <c r="M55" s="17">
        <f t="shared" si="3"/>
        <v>5.6348304473304474</v>
      </c>
    </row>
    <row r="56" spans="1:13" x14ac:dyDescent="0.25">
      <c r="A56" s="26">
        <f t="shared" si="6"/>
        <v>-20</v>
      </c>
      <c r="B56" s="17">
        <f t="shared" si="19"/>
        <v>4.5815295815295816</v>
      </c>
      <c r="C56" s="17">
        <f t="shared" si="20"/>
        <v>1.1047762351719403</v>
      </c>
      <c r="D56" s="17">
        <f t="shared" si="21"/>
        <v>0</v>
      </c>
      <c r="E56" s="17">
        <f t="shared" si="22"/>
        <v>-6.945927106677213</v>
      </c>
      <c r="K56" s="16">
        <f>-K5</f>
        <v>-20</v>
      </c>
      <c r="L56" s="17">
        <f>K9</f>
        <v>5.5815295815295816</v>
      </c>
      <c r="M56" s="17">
        <f t="shared" si="3"/>
        <v>6.0815295815295816</v>
      </c>
    </row>
    <row r="57" spans="1:13" x14ac:dyDescent="0.25">
      <c r="A57" s="26">
        <f t="shared" si="6"/>
        <v>-21</v>
      </c>
      <c r="B57" s="17">
        <f t="shared" si="19"/>
        <v>5.0511363636363633</v>
      </c>
      <c r="C57" s="17">
        <f t="shared" si="20"/>
        <v>1.1147064473539385</v>
      </c>
      <c r="D57" s="17">
        <f t="shared" si="21"/>
        <v>0</v>
      </c>
      <c r="E57" s="17">
        <f t="shared" si="22"/>
        <v>-7.2932234620110741</v>
      </c>
      <c r="K57" s="16">
        <f>-K55</f>
        <v>4.25</v>
      </c>
      <c r="L57" s="17">
        <f>L55</f>
        <v>12</v>
      </c>
      <c r="M57" s="17">
        <f t="shared" si="3"/>
        <v>6.5511363636363633</v>
      </c>
    </row>
    <row r="58" spans="1:13" x14ac:dyDescent="0.25">
      <c r="A58" s="26">
        <f t="shared" si="6"/>
        <v>-22</v>
      </c>
      <c r="B58" s="17">
        <f t="shared" si="19"/>
        <v>5.5436507936507935</v>
      </c>
      <c r="C58" s="17">
        <f t="shared" si="20"/>
        <v>1.1250155191860742</v>
      </c>
      <c r="D58" s="17">
        <f t="shared" si="21"/>
        <v>0</v>
      </c>
      <c r="E58" s="17">
        <f t="shared" si="22"/>
        <v>-7.6405198173449342</v>
      </c>
      <c r="K58" s="16">
        <f>-K56</f>
        <v>20</v>
      </c>
      <c r="L58" s="17">
        <f>L56</f>
        <v>5.5815295815295816</v>
      </c>
      <c r="M58" s="17">
        <f t="shared" si="3"/>
        <v>7.0436507936507935</v>
      </c>
    </row>
    <row r="59" spans="1:13" x14ac:dyDescent="0.25">
      <c r="A59" s="26">
        <f t="shared" si="6"/>
        <v>-23</v>
      </c>
      <c r="B59" s="17">
        <f t="shared" si="19"/>
        <v>6.0590728715728712</v>
      </c>
      <c r="C59" s="17">
        <f t="shared" si="20"/>
        <v>1.1356931336025187</v>
      </c>
      <c r="D59" s="17">
        <f t="shared" si="21"/>
        <v>0</v>
      </c>
      <c r="E59" s="17">
        <f t="shared" si="22"/>
        <v>-7.9878161726787953</v>
      </c>
      <c r="K59" s="15" t="s">
        <v>53</v>
      </c>
      <c r="M59" s="17">
        <f t="shared" si="3"/>
        <v>7.5590728715728712</v>
      </c>
    </row>
    <row r="60" spans="1:13" x14ac:dyDescent="0.25">
      <c r="A60" s="26">
        <f t="shared" si="6"/>
        <v>-24</v>
      </c>
      <c r="B60" s="17">
        <f t="shared" si="19"/>
        <v>6.5974025974025974</v>
      </c>
      <c r="C60" s="17">
        <f t="shared" si="20"/>
        <v>1.1467289957438176</v>
      </c>
      <c r="D60" s="17">
        <f t="shared" si="21"/>
        <v>0</v>
      </c>
      <c r="E60" s="17">
        <f t="shared" si="22"/>
        <v>-8.3351125280126563</v>
      </c>
      <c r="K60" s="16">
        <v>-12</v>
      </c>
      <c r="L60" s="16">
        <f>-0.75</f>
        <v>-0.75</v>
      </c>
      <c r="M60" s="17">
        <f t="shared" si="3"/>
        <v>8.0974025974025974</v>
      </c>
    </row>
    <row r="61" spans="1:13" x14ac:dyDescent="0.25">
      <c r="A61" s="26">
        <f t="shared" si="6"/>
        <v>-25</v>
      </c>
      <c r="B61" s="17">
        <f t="shared" si="19"/>
        <v>7.1586399711399711</v>
      </c>
      <c r="C61" s="17">
        <f t="shared" si="20"/>
        <v>1.1581128642376193</v>
      </c>
      <c r="D61" s="17">
        <f t="shared" si="21"/>
        <v>0</v>
      </c>
      <c r="E61" s="17">
        <f t="shared" si="22"/>
        <v>-8.6824088833465165</v>
      </c>
      <c r="K61" s="16">
        <f>-K60</f>
        <v>12</v>
      </c>
      <c r="L61" s="16">
        <f>L60</f>
        <v>-0.75</v>
      </c>
      <c r="M61" s="17">
        <f t="shared" si="3"/>
        <v>8.6586399711399711</v>
      </c>
    </row>
    <row r="62" spans="1:13" x14ac:dyDescent="0.25">
      <c r="A62" s="26">
        <f t="shared" si="6"/>
        <v>-26</v>
      </c>
      <c r="B62" s="17">
        <f t="shared" si="19"/>
        <v>7.7427849927849923</v>
      </c>
      <c r="C62" s="17">
        <f t="shared" si="20"/>
        <v>1.1698345795927834</v>
      </c>
      <c r="D62" s="17">
        <f t="shared" si="21"/>
        <v>0</v>
      </c>
      <c r="E62" s="17">
        <f t="shared" si="22"/>
        <v>-9.0297052386803767</v>
      </c>
      <c r="M62" s="17">
        <f t="shared" si="3"/>
        <v>9.2427849927849923</v>
      </c>
    </row>
    <row r="63" spans="1:13" x14ac:dyDescent="0.25">
      <c r="A63" s="26">
        <f t="shared" si="6"/>
        <v>-27</v>
      </c>
      <c r="B63" s="17">
        <f t="shared" si="19"/>
        <v>8.3498376623376629</v>
      </c>
      <c r="C63" s="17">
        <f t="shared" si="20"/>
        <v>1.1818840897375269</v>
      </c>
      <c r="D63" s="17">
        <f t="shared" si="21"/>
        <v>0</v>
      </c>
      <c r="E63" s="17">
        <f t="shared" si="22"/>
        <v>-9.3770015940142386</v>
      </c>
      <c r="M63" s="17">
        <f t="shared" si="3"/>
        <v>9.8498376623376629</v>
      </c>
    </row>
    <row r="64" spans="1:13" x14ac:dyDescent="0.25">
      <c r="A64" s="26">
        <f t="shared" si="6"/>
        <v>-28</v>
      </c>
      <c r="B64" s="17">
        <f t="shared" si="19"/>
        <v>8.9797979797979792</v>
      </c>
      <c r="C64" s="17">
        <f t="shared" si="20"/>
        <v>1.1942514727659779</v>
      </c>
      <c r="D64" s="17">
        <f t="shared" si="21"/>
        <v>0</v>
      </c>
      <c r="E64" s="17">
        <f t="shared" si="22"/>
        <v>-9.7242979493480988</v>
      </c>
      <c r="M64" s="17">
        <f t="shared" si="3"/>
        <v>10.479797979797979</v>
      </c>
    </row>
    <row r="65" spans="1:13" x14ac:dyDescent="0.25">
      <c r="A65" s="26">
        <f t="shared" si="6"/>
        <v>-29</v>
      </c>
      <c r="B65" s="17">
        <f t="shared" si="19"/>
        <v>9.6326659451659449</v>
      </c>
      <c r="C65" s="17">
        <f t="shared" si="20"/>
        <v>1.2069269569853973</v>
      </c>
      <c r="D65" s="17">
        <f t="shared" si="21"/>
        <v>0</v>
      </c>
      <c r="E65" s="17">
        <f t="shared" si="22"/>
        <v>-10.071594304681959</v>
      </c>
      <c r="M65" s="17">
        <f t="shared" si="3"/>
        <v>11.132665945165945</v>
      </c>
    </row>
    <row r="66" spans="1:13" x14ac:dyDescent="0.25">
      <c r="A66" s="26">
        <f t="shared" si="6"/>
        <v>-30</v>
      </c>
      <c r="B66" s="17">
        <f t="shared" si="19"/>
        <v>10.308441558441558</v>
      </c>
      <c r="C66" s="17">
        <f t="shared" si="20"/>
        <v>31.721664006855079</v>
      </c>
      <c r="D66" s="17">
        <f t="shared" si="21"/>
        <v>0</v>
      </c>
      <c r="E66" s="17">
        <f t="shared" si="22"/>
        <v>-10.418890660015819</v>
      </c>
      <c r="M66" s="17">
        <f t="shared" si="3"/>
        <v>11.808441558441558</v>
      </c>
    </row>
  </sheetData>
  <sheetProtection sheet="1" objects="1" scenarios="1"/>
  <pageMargins left="0.7" right="0.7" top="0.75" bottom="0.75" header="0.3" footer="0.3"/>
  <pageSetup paperSize="1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D3CC-0754-46AA-81B7-07F5109ECFA8}">
  <dimension ref="A1:X144"/>
  <sheetViews>
    <sheetView zoomScaleNormal="100" workbookViewId="0">
      <selection activeCell="C39" sqref="C39"/>
    </sheetView>
  </sheetViews>
  <sheetFormatPr defaultRowHeight="15" x14ac:dyDescent="0.25"/>
  <cols>
    <col min="1" max="1" width="15.5703125" customWidth="1"/>
    <col min="2" max="2" width="9.85546875" customWidth="1"/>
    <col min="3" max="3" width="14.5703125" bestFit="1" customWidth="1"/>
    <col min="4" max="4" width="9.42578125" bestFit="1" customWidth="1"/>
    <col min="5" max="5" width="13.28515625" customWidth="1"/>
    <col min="6" max="6" width="2.42578125" customWidth="1"/>
    <col min="7" max="7" width="25.140625" customWidth="1"/>
    <col min="8" max="8" width="11.7109375" bestFit="1" customWidth="1"/>
    <col min="9" max="9" width="4.42578125" customWidth="1"/>
    <col min="10" max="10" width="14.42578125" customWidth="1"/>
    <col min="12" max="12" width="11.28515625" bestFit="1" customWidth="1"/>
    <col min="23" max="23" width="7.28515625" bestFit="1" customWidth="1"/>
  </cols>
  <sheetData>
    <row r="1" spans="1:24" x14ac:dyDescent="0.25">
      <c r="A1" s="1" t="s">
        <v>0</v>
      </c>
      <c r="E1" t="s">
        <v>1</v>
      </c>
      <c r="I1" s="2"/>
    </row>
    <row r="2" spans="1:24" x14ac:dyDescent="0.25">
      <c r="A2" s="9" t="s">
        <v>2</v>
      </c>
      <c r="B2" s="30">
        <v>3.5</v>
      </c>
      <c r="C2" s="4">
        <f>A6*2*2.54/100</f>
        <v>3.5051999999999999</v>
      </c>
      <c r="D2" s="6">
        <f>H9/C2</f>
        <v>0.35946593632317703</v>
      </c>
      <c r="E2" s="8">
        <f>0.588*((H6*2.54/100)/(SQRT(3)))/B3</f>
        <v>1.6656169885456772E-2</v>
      </c>
    </row>
    <row r="3" spans="1:24" x14ac:dyDescent="0.25">
      <c r="A3" s="1" t="s">
        <v>3</v>
      </c>
      <c r="B3" s="3">
        <v>0.21099999999999999</v>
      </c>
      <c r="C3" s="9" t="s">
        <v>4</v>
      </c>
      <c r="D3" s="31">
        <v>24</v>
      </c>
      <c r="M3" s="1"/>
      <c r="U3" s="1" t="s">
        <v>5</v>
      </c>
      <c r="V3" s="1" t="s">
        <v>6</v>
      </c>
    </row>
    <row r="4" spans="1:24" x14ac:dyDescent="0.25">
      <c r="A4" s="9" t="s">
        <v>7</v>
      </c>
      <c r="B4" s="30">
        <v>0.36</v>
      </c>
      <c r="C4" s="1" t="s">
        <v>8</v>
      </c>
      <c r="D4">
        <f>360/D3</f>
        <v>15</v>
      </c>
      <c r="G4" s="1" t="s">
        <v>9</v>
      </c>
      <c r="H4" s="4">
        <f>(B3*100/10)/2.54</f>
        <v>0.8307086614173228</v>
      </c>
      <c r="J4" s="1" t="s">
        <v>10</v>
      </c>
      <c r="U4" s="2">
        <f>SUM(V6:V10)</f>
        <v>38.484510006474963</v>
      </c>
      <c r="V4" s="11">
        <f>SUM(X6:X10)/U4</f>
        <v>1.6825135510204078E-2</v>
      </c>
      <c r="W4" s="12">
        <f>V4/W6</f>
        <v>0.58829145140573702</v>
      </c>
    </row>
    <row r="5" spans="1:24" x14ac:dyDescent="0.25">
      <c r="A5" s="1" t="s">
        <v>11</v>
      </c>
      <c r="B5" s="1" t="s">
        <v>12</v>
      </c>
      <c r="C5" s="1" t="s">
        <v>13</v>
      </c>
      <c r="D5" s="1" t="s">
        <v>14</v>
      </c>
      <c r="E5" s="1" t="s">
        <v>15</v>
      </c>
      <c r="G5" s="1" t="s">
        <v>16</v>
      </c>
      <c r="H5" s="5">
        <f>ROUNDUP((180/DEGREES(ACOS(SQRT(1-(4*B4*B3)/(5*0.5*B2))))),0)*1.14</f>
        <v>19.38</v>
      </c>
      <c r="J5" s="9" t="s">
        <v>17</v>
      </c>
      <c r="K5" s="31">
        <v>28</v>
      </c>
      <c r="M5" s="1" t="s">
        <v>18</v>
      </c>
      <c r="T5" s="1" t="s">
        <v>19</v>
      </c>
      <c r="U5" s="1" t="s">
        <v>20</v>
      </c>
      <c r="V5" s="1" t="s">
        <v>21</v>
      </c>
      <c r="W5" s="1" t="s">
        <v>22</v>
      </c>
      <c r="X5" s="1" t="s">
        <v>23</v>
      </c>
    </row>
    <row r="6" spans="1:24" x14ac:dyDescent="0.25">
      <c r="A6" s="7">
        <f>ROUND((B2/2)*100/2.54,0)</f>
        <v>69</v>
      </c>
      <c r="B6" s="2">
        <f>A6^2/(4*$B$4*$B$2*100/2.54)</f>
        <v>23.993928571428572</v>
      </c>
      <c r="C6" s="2">
        <f t="shared" ref="C6:C12" si="0">SQRT((B7-B6)^2+(A7-A6)^2)</f>
        <v>1.2151965155856721</v>
      </c>
      <c r="D6" s="2">
        <f t="shared" ref="D6:D12" si="1">IF(A6&lt;0.13,0,C7+D7)</f>
        <v>74.00022091481847</v>
      </c>
      <c r="E6" s="2">
        <f t="shared" ref="E6:E12" si="2">2*(A6)*SIN(RADIANS($D$4/2))</f>
        <v>18.012614526367116</v>
      </c>
      <c r="G6" s="1" t="s">
        <v>24</v>
      </c>
      <c r="H6" s="4">
        <f>(B2*0.5)*(1-(COS(RADIANS(180/D3)))^2)*(100/2.54)/(8*B4)</f>
        <v>0.40757466640782652</v>
      </c>
      <c r="J6" s="1" t="s">
        <v>25</v>
      </c>
      <c r="K6" s="6">
        <v>4.5</v>
      </c>
      <c r="M6" s="2">
        <f>B6+1.5</f>
        <v>25.493928571428572</v>
      </c>
      <c r="S6" s="2">
        <f>T6^2</f>
        <v>12.25</v>
      </c>
      <c r="T6" s="2">
        <v>3.5</v>
      </c>
      <c r="U6" s="2">
        <f>PI()*T6^2</f>
        <v>38.484510006474963</v>
      </c>
      <c r="V6" s="2">
        <f>U6-U7</f>
        <v>7.7066409385211223</v>
      </c>
      <c r="W6" s="11">
        <v>2.86E-2</v>
      </c>
      <c r="X6" s="2">
        <f>W6*V6</f>
        <v>0.2204099308417041</v>
      </c>
    </row>
    <row r="7" spans="1:24" x14ac:dyDescent="0.25">
      <c r="A7" s="7">
        <f>A6-1</f>
        <v>68</v>
      </c>
      <c r="B7" s="2">
        <f>A7^2/(4*$B$4*$B$2*100/2.54)</f>
        <v>23.303492063492065</v>
      </c>
      <c r="C7" s="2">
        <f t="shared" si="0"/>
        <v>1.2094981776905396</v>
      </c>
      <c r="D7" s="2">
        <f t="shared" si="1"/>
        <v>72.790722737127936</v>
      </c>
      <c r="E7" s="2">
        <f t="shared" si="2"/>
        <v>17.751562141927014</v>
      </c>
      <c r="G7" s="1" t="s">
        <v>26</v>
      </c>
      <c r="H7" s="2">
        <f>H6*100/(B3*100/2.54)</f>
        <v>4.9063490648145942</v>
      </c>
      <c r="J7" s="1" t="s">
        <v>27</v>
      </c>
      <c r="K7" s="6">
        <f>K5-K6</f>
        <v>23.5</v>
      </c>
      <c r="M7" s="2">
        <f t="shared" ref="M7:M70" si="3">B7+1.5</f>
        <v>24.803492063492065</v>
      </c>
      <c r="S7" s="2">
        <f>4*S10</f>
        <v>9.8000000000000007</v>
      </c>
      <c r="T7" s="2">
        <v>3.13</v>
      </c>
      <c r="U7" s="2">
        <f t="shared" ref="U7:U10" si="4">PI()*T7^2</f>
        <v>30.777869067953841</v>
      </c>
      <c r="V7" s="2">
        <f>U7-U8</f>
        <v>7.7056984607250421</v>
      </c>
      <c r="W7" s="11">
        <v>2.2499999999999999E-2</v>
      </c>
      <c r="X7" s="2">
        <f t="shared" ref="X7:X10" si="5">W7*V7</f>
        <v>0.17337821536631343</v>
      </c>
    </row>
    <row r="8" spans="1:24" x14ac:dyDescent="0.25">
      <c r="A8" s="7">
        <f t="shared" ref="A8:A71" si="6">A7-1</f>
        <v>67</v>
      </c>
      <c r="B8" s="2">
        <f t="shared" ref="B8:B12" si="7">A8^2/(4*$B$4*$B$2*100/2.54)</f>
        <v>22.623134920634921</v>
      </c>
      <c r="C8" s="2">
        <f t="shared" si="0"/>
        <v>1.2038572587241041</v>
      </c>
      <c r="D8" s="2">
        <f t="shared" si="1"/>
        <v>71.586865478403837</v>
      </c>
      <c r="E8" s="2">
        <f t="shared" si="2"/>
        <v>17.490509757486912</v>
      </c>
      <c r="G8" s="9" t="s">
        <v>28</v>
      </c>
      <c r="H8" s="10">
        <f>I8*B3/B2</f>
        <v>5.1554348452502694</v>
      </c>
      <c r="I8">
        <f>(360/(2*PI()))*(1/(H16*0.7))</f>
        <v>85.516691745857557</v>
      </c>
      <c r="J8" s="1" t="s">
        <v>29</v>
      </c>
      <c r="K8" s="4">
        <f>K5^2/(4*$B$4*$B$2*100/2.54)</f>
        <v>3.9511111111111115</v>
      </c>
      <c r="M8" s="2">
        <f t="shared" si="3"/>
        <v>24.123134920634921</v>
      </c>
      <c r="S8" s="2">
        <f>S9+S10</f>
        <v>7.3500000000000005</v>
      </c>
      <c r="T8" s="2">
        <v>2.71</v>
      </c>
      <c r="U8" s="2">
        <f t="shared" si="4"/>
        <v>23.072170607228799</v>
      </c>
      <c r="V8" s="2">
        <f>U8-U9</f>
        <v>7.72831792783089</v>
      </c>
      <c r="W8" s="11">
        <v>1.6799999999999999E-2</v>
      </c>
      <c r="X8" s="2">
        <f t="shared" si="5"/>
        <v>0.12983574118755895</v>
      </c>
    </row>
    <row r="9" spans="1:24" x14ac:dyDescent="0.25">
      <c r="A9" s="7">
        <f t="shared" si="6"/>
        <v>66</v>
      </c>
      <c r="B9" s="2">
        <f t="shared" si="7"/>
        <v>21.952857142857145</v>
      </c>
      <c r="C9" s="2">
        <f t="shared" si="0"/>
        <v>1.1982745695914208</v>
      </c>
      <c r="D9" s="2">
        <f t="shared" si="1"/>
        <v>70.388590908812418</v>
      </c>
      <c r="E9" s="2">
        <f t="shared" si="2"/>
        <v>17.229457373046806</v>
      </c>
      <c r="G9" s="1" t="s">
        <v>30</v>
      </c>
      <c r="H9" s="2">
        <f>B4*B2</f>
        <v>1.26</v>
      </c>
      <c r="J9" s="1" t="s">
        <v>31</v>
      </c>
      <c r="K9" s="4">
        <f>K8+1</f>
        <v>4.9511111111111115</v>
      </c>
      <c r="M9" s="2">
        <f t="shared" si="3"/>
        <v>23.452857142857145</v>
      </c>
      <c r="S9" s="2">
        <f>2*S10</f>
        <v>4.9000000000000004</v>
      </c>
      <c r="T9" s="2">
        <v>2.21</v>
      </c>
      <c r="U9" s="2">
        <f t="shared" si="4"/>
        <v>15.343852679397909</v>
      </c>
      <c r="V9" s="2">
        <f>U9-U10</f>
        <v>7.6001409475644275</v>
      </c>
      <c r="W9" s="11">
        <v>1.09E-2</v>
      </c>
      <c r="X9" s="2">
        <f t="shared" si="5"/>
        <v>8.2841536328452259E-2</v>
      </c>
    </row>
    <row r="10" spans="1:24" x14ac:dyDescent="0.25">
      <c r="A10" s="7">
        <f t="shared" si="6"/>
        <v>65</v>
      </c>
      <c r="B10" s="2">
        <f t="shared" si="7"/>
        <v>21.292658730158731</v>
      </c>
      <c r="C10" s="2">
        <f t="shared" si="0"/>
        <v>1.1927509279296731</v>
      </c>
      <c r="D10" s="2">
        <f t="shared" si="1"/>
        <v>69.195839980882738</v>
      </c>
      <c r="E10" s="2">
        <f t="shared" si="2"/>
        <v>16.968404988606704</v>
      </c>
      <c r="G10" s="1" t="s">
        <v>32</v>
      </c>
      <c r="H10" s="2">
        <f>H9*100/2.54</f>
        <v>49.606299212598422</v>
      </c>
      <c r="J10" s="1" t="s">
        <v>33</v>
      </c>
      <c r="K10" s="4">
        <f>K11-K9</f>
        <v>8.5488888888888894</v>
      </c>
      <c r="M10" s="2">
        <f t="shared" si="3"/>
        <v>22.792658730158731</v>
      </c>
      <c r="S10" s="2">
        <f>S6/5</f>
        <v>2.4500000000000002</v>
      </c>
      <c r="T10" s="2">
        <v>1.57</v>
      </c>
      <c r="U10" s="2">
        <f t="shared" si="4"/>
        <v>7.7437117318334812</v>
      </c>
      <c r="V10" s="2">
        <f>U10-S11</f>
        <v>7.7437117318334812</v>
      </c>
      <c r="W10" s="11">
        <v>5.3E-3</v>
      </c>
      <c r="X10" s="2">
        <f t="shared" si="5"/>
        <v>4.1041672178717452E-2</v>
      </c>
    </row>
    <row r="11" spans="1:24" x14ac:dyDescent="0.25">
      <c r="A11" s="7">
        <f t="shared" si="6"/>
        <v>64</v>
      </c>
      <c r="B11" s="2">
        <f t="shared" si="7"/>
        <v>20.642539682539685</v>
      </c>
      <c r="C11" s="2">
        <f t="shared" si="0"/>
        <v>1.1872871578626203</v>
      </c>
      <c r="D11" s="2">
        <f t="shared" si="1"/>
        <v>68.008552823020125</v>
      </c>
      <c r="E11" s="2">
        <f t="shared" si="2"/>
        <v>16.707352604166601</v>
      </c>
      <c r="G11" s="1" t="s">
        <v>34</v>
      </c>
      <c r="H11" s="2">
        <f>0.73*B3*100</f>
        <v>15.403</v>
      </c>
      <c r="J11" s="9" t="s">
        <v>35</v>
      </c>
      <c r="K11" s="30">
        <v>13.5</v>
      </c>
      <c r="L11" s="1"/>
      <c r="M11" s="2">
        <f t="shared" si="3"/>
        <v>22.142539682539685</v>
      </c>
    </row>
    <row r="12" spans="1:24" x14ac:dyDescent="0.25">
      <c r="A12" s="7">
        <f t="shared" si="6"/>
        <v>63</v>
      </c>
      <c r="B12" s="2">
        <f t="shared" si="7"/>
        <v>20.002500000000001</v>
      </c>
      <c r="C12" s="2">
        <f t="shared" si="0"/>
        <v>1.1818840897375269</v>
      </c>
      <c r="D12" s="2">
        <f t="shared" si="1"/>
        <v>66.826668733282602</v>
      </c>
      <c r="E12" s="2">
        <f t="shared" si="2"/>
        <v>16.446300219726499</v>
      </c>
      <c r="G12" s="1" t="s">
        <v>36</v>
      </c>
      <c r="H12" s="2">
        <f>H11/2.54</f>
        <v>6.0641732283464567</v>
      </c>
      <c r="J12" s="9" t="s">
        <v>37</v>
      </c>
      <c r="K12" s="10">
        <f>SQRT(K7^2+K10^2)</f>
        <v>25.006669135144087</v>
      </c>
      <c r="L12" s="13" t="s">
        <v>38</v>
      </c>
      <c r="M12" s="2">
        <f t="shared" si="3"/>
        <v>21.502500000000001</v>
      </c>
    </row>
    <row r="13" spans="1:24" x14ac:dyDescent="0.25">
      <c r="A13" s="7">
        <f t="shared" si="6"/>
        <v>62</v>
      </c>
      <c r="B13" s="2">
        <f>A13^2/(4*$B$4*$B$2*100/2.54)</f>
        <v>19.372539682539685</v>
      </c>
      <c r="C13" s="2">
        <f>SQRT((B14-B13)^2+(A14-A13)^2)</f>
        <v>1.1765425598441892</v>
      </c>
      <c r="D13" s="2">
        <f>IF(A13&lt;0.13,0,C14+D14)</f>
        <v>65.650126173438409</v>
      </c>
      <c r="E13" s="2">
        <f>2*(A13)*SIN(RADIANS($D$4/2))</f>
        <v>16.185247835286397</v>
      </c>
      <c r="G13" s="1" t="s">
        <v>39</v>
      </c>
      <c r="H13" s="2">
        <f>H11*B4-H11/(16*B4)</f>
        <v>2.8709480555555551</v>
      </c>
      <c r="J13" s="9" t="s">
        <v>40</v>
      </c>
      <c r="K13" s="10">
        <f>H15</f>
        <v>50.476004702537182</v>
      </c>
      <c r="L13" s="14">
        <f>K12+K7</f>
        <v>48.506669135144087</v>
      </c>
      <c r="M13" s="2">
        <f t="shared" si="3"/>
        <v>20.872539682539685</v>
      </c>
    </row>
    <row r="14" spans="1:24" x14ac:dyDescent="0.25">
      <c r="A14" s="7">
        <f t="shared" si="6"/>
        <v>61</v>
      </c>
      <c r="B14" s="2">
        <f>A14^2/(4*$B$4*$B$2*100/2.54)</f>
        <v>18.752658730158732</v>
      </c>
      <c r="C14" s="2">
        <f t="shared" ref="C14:C77" si="8">SQRT((B15-B14)^2+(A15-A14)^2)</f>
        <v>1.1712634101155632</v>
      </c>
      <c r="D14" s="2">
        <f t="shared" ref="D14:D77" si="9">IF(A14&lt;0.13,0,C15+D15)</f>
        <v>64.478862763322851</v>
      </c>
      <c r="E14" s="2">
        <f t="shared" ref="E14:E77" si="10">2*(A14)*SIN(RADIANS($D$4/2))</f>
        <v>15.924195450846291</v>
      </c>
      <c r="G14" s="1" t="s">
        <v>41</v>
      </c>
      <c r="H14" s="2">
        <f>H13/2.54</f>
        <v>1.130294510061242</v>
      </c>
      <c r="M14" s="2">
        <f t="shared" si="3"/>
        <v>20.252658730158732</v>
      </c>
      <c r="U14" s="1" t="s">
        <v>5</v>
      </c>
      <c r="V14" s="1" t="s">
        <v>6</v>
      </c>
    </row>
    <row r="15" spans="1:24" x14ac:dyDescent="0.25">
      <c r="A15" s="7">
        <f t="shared" si="6"/>
        <v>60</v>
      </c>
      <c r="B15" s="2">
        <f t="shared" ref="B15:B78" si="11">A15^2/(4*$B$4*$B$2*100/2.54)</f>
        <v>18.142857142857142</v>
      </c>
      <c r="C15" s="2">
        <f t="shared" si="8"/>
        <v>1.1660474878096332</v>
      </c>
      <c r="D15" s="2">
        <f t="shared" si="9"/>
        <v>63.312815275513223</v>
      </c>
      <c r="E15" s="2">
        <f t="shared" si="10"/>
        <v>15.663143066406189</v>
      </c>
      <c r="G15" s="9" t="s">
        <v>42</v>
      </c>
      <c r="H15" s="10">
        <f>H10-H14+2</f>
        <v>50.476004702537182</v>
      </c>
      <c r="K15" s="1" t="s">
        <v>43</v>
      </c>
      <c r="M15" s="2">
        <f t="shared" si="3"/>
        <v>19.642857142857142</v>
      </c>
      <c r="U15" s="2">
        <f>SUM(V17:V21)</f>
        <v>23.585821006090733</v>
      </c>
      <c r="V15" s="11">
        <f>SUM(X17:X21)/U15</f>
        <v>2.6780000000000002E-2</v>
      </c>
      <c r="W15" s="12">
        <f>V15/W17</f>
        <v>0.58728070175438596</v>
      </c>
    </row>
    <row r="16" spans="1:24" x14ac:dyDescent="0.25">
      <c r="A16" s="7">
        <f t="shared" si="6"/>
        <v>59</v>
      </c>
      <c r="B16" s="2">
        <f t="shared" si="11"/>
        <v>17.543134920634923</v>
      </c>
      <c r="C16" s="2">
        <f t="shared" si="8"/>
        <v>1.1608956451721206</v>
      </c>
      <c r="D16" s="2">
        <f t="shared" si="9"/>
        <v>62.151919630341105</v>
      </c>
      <c r="E16" s="2">
        <f t="shared" si="10"/>
        <v>15.402090681966087</v>
      </c>
      <c r="G16" s="1" t="s">
        <v>44</v>
      </c>
      <c r="H16" s="8">
        <f>EXP(-((4*PI()*E2)^2))</f>
        <v>0.95713610897585366</v>
      </c>
      <c r="K16">
        <v>0</v>
      </c>
      <c r="L16" s="2">
        <f>H15</f>
        <v>50.476004702537182</v>
      </c>
      <c r="M16" s="2">
        <f t="shared" si="3"/>
        <v>19.043134920634923</v>
      </c>
      <c r="T16" s="1" t="s">
        <v>19</v>
      </c>
      <c r="U16" s="1" t="s">
        <v>20</v>
      </c>
      <c r="V16" s="1" t="s">
        <v>21</v>
      </c>
      <c r="W16" s="1" t="s">
        <v>22</v>
      </c>
      <c r="X16" s="1" t="s">
        <v>23</v>
      </c>
    </row>
    <row r="17" spans="1:24" x14ac:dyDescent="0.25">
      <c r="A17" s="7">
        <f t="shared" si="6"/>
        <v>58</v>
      </c>
      <c r="B17" s="2">
        <f t="shared" si="11"/>
        <v>16.953492063492064</v>
      </c>
      <c r="C17" s="2">
        <f t="shared" si="8"/>
        <v>1.1558087390796237</v>
      </c>
      <c r="D17" s="2">
        <f t="shared" si="9"/>
        <v>60.99611089126148</v>
      </c>
      <c r="E17" s="2">
        <f t="shared" si="10"/>
        <v>15.141038297525983</v>
      </c>
      <c r="K17" s="1" t="s">
        <v>45</v>
      </c>
      <c r="M17" s="2">
        <f t="shared" si="3"/>
        <v>18.453492063492064</v>
      </c>
      <c r="S17" s="2">
        <f>T17^2</f>
        <v>7.5076000000000009</v>
      </c>
      <c r="T17" s="2">
        <v>2.74</v>
      </c>
      <c r="U17" s="2">
        <f>PI()*T17^2</f>
        <v>23.585821006090733</v>
      </c>
      <c r="V17" s="2">
        <f>U17-U18</f>
        <v>4.7171642012181501</v>
      </c>
      <c r="W17" s="11">
        <v>4.5600000000000002E-2</v>
      </c>
      <c r="X17" s="2">
        <f>W17*V17</f>
        <v>0.21510268757554765</v>
      </c>
    </row>
    <row r="18" spans="1:24" x14ac:dyDescent="0.25">
      <c r="A18" s="7">
        <f t="shared" si="6"/>
        <v>57</v>
      </c>
      <c r="B18" s="2">
        <f t="shared" si="11"/>
        <v>16.373928571428571</v>
      </c>
      <c r="C18" s="2">
        <f t="shared" si="8"/>
        <v>1.150787630662961</v>
      </c>
      <c r="D18" s="2">
        <f t="shared" si="9"/>
        <v>59.845323260598519</v>
      </c>
      <c r="E18" s="2">
        <f t="shared" si="10"/>
        <v>14.879985913085878</v>
      </c>
      <c r="K18">
        <f>K16-3</f>
        <v>-3</v>
      </c>
      <c r="L18" s="2">
        <f>L16</f>
        <v>50.476004702537182</v>
      </c>
      <c r="M18" s="2">
        <f t="shared" si="3"/>
        <v>17.873928571428571</v>
      </c>
      <c r="S18" s="2">
        <f>4*S21</f>
        <v>6.0060800000000008</v>
      </c>
      <c r="T18" s="2">
        <f>SQRT(S18)</f>
        <v>2.4507305033397695</v>
      </c>
      <c r="U18" s="2">
        <f>PI()*T18^2</f>
        <v>18.868656804872582</v>
      </c>
      <c r="V18" s="2">
        <f>U18-U19</f>
        <v>4.7171642012181429</v>
      </c>
      <c r="W18" s="11">
        <v>3.61E-2</v>
      </c>
      <c r="X18" s="2">
        <f t="shared" ref="X18:X21" si="12">W18*V18</f>
        <v>0.17028962766397496</v>
      </c>
    </row>
    <row r="19" spans="1:24" x14ac:dyDescent="0.25">
      <c r="A19" s="7">
        <f t="shared" si="6"/>
        <v>56</v>
      </c>
      <c r="B19" s="2">
        <f t="shared" si="11"/>
        <v>15.804444444444446</v>
      </c>
      <c r="C19" s="2">
        <f t="shared" si="8"/>
        <v>1.1458331849103183</v>
      </c>
      <c r="D19" s="2">
        <f t="shared" si="9"/>
        <v>58.699490075688203</v>
      </c>
      <c r="E19" s="2">
        <f t="shared" si="10"/>
        <v>14.618933528645776</v>
      </c>
      <c r="K19">
        <f>K18+6</f>
        <v>3</v>
      </c>
      <c r="L19" s="2">
        <f>L16</f>
        <v>50.476004702537182</v>
      </c>
      <c r="M19" s="2">
        <f t="shared" si="3"/>
        <v>17.304444444444446</v>
      </c>
      <c r="S19" s="2">
        <f>S20+S21</f>
        <v>4.5045600000000006</v>
      </c>
      <c r="T19" s="2">
        <f t="shared" ref="T19:T21" si="13">SQRT(S19)</f>
        <v>2.1223948737216647</v>
      </c>
      <c r="U19" s="2">
        <f t="shared" ref="U19:U21" si="14">PI()*T19^2</f>
        <v>14.15149260365444</v>
      </c>
      <c r="V19" s="2">
        <f>U19-U20</f>
        <v>4.7171642012181465</v>
      </c>
      <c r="W19" s="11">
        <v>2.6700000000000002E-2</v>
      </c>
      <c r="X19" s="2">
        <f t="shared" si="12"/>
        <v>0.12594828417252452</v>
      </c>
    </row>
    <row r="20" spans="1:24" x14ac:dyDescent="0.25">
      <c r="A20" s="7">
        <f t="shared" si="6"/>
        <v>55</v>
      </c>
      <c r="B20" s="2">
        <f t="shared" si="11"/>
        <v>15.245039682539684</v>
      </c>
      <c r="C20" s="2">
        <f t="shared" si="8"/>
        <v>1.1409462702499973</v>
      </c>
      <c r="D20" s="2">
        <f t="shared" si="9"/>
        <v>57.558543805438205</v>
      </c>
      <c r="E20" s="2">
        <f t="shared" si="10"/>
        <v>14.357881144205674</v>
      </c>
      <c r="K20">
        <f>K18</f>
        <v>-3</v>
      </c>
      <c r="L20" s="2">
        <f>L18+1.5</f>
        <v>51.976004702537182</v>
      </c>
      <c r="M20" s="2">
        <f t="shared" si="3"/>
        <v>16.745039682539684</v>
      </c>
      <c r="S20" s="2">
        <f>2*S21</f>
        <v>3.0030400000000004</v>
      </c>
      <c r="T20" s="2">
        <f t="shared" si="13"/>
        <v>1.7329281577722719</v>
      </c>
      <c r="U20" s="2">
        <f t="shared" si="14"/>
        <v>9.434328402436293</v>
      </c>
      <c r="V20" s="2">
        <f>U20-U21</f>
        <v>4.7171642012181474</v>
      </c>
      <c r="W20" s="11">
        <v>1.72E-2</v>
      </c>
      <c r="X20" s="2">
        <f t="shared" si="12"/>
        <v>8.1135224260952141E-2</v>
      </c>
    </row>
    <row r="21" spans="1:24" x14ac:dyDescent="0.25">
      <c r="A21" s="7">
        <f t="shared" si="6"/>
        <v>54</v>
      </c>
      <c r="B21" s="2">
        <f t="shared" si="11"/>
        <v>14.695714285714287</v>
      </c>
      <c r="C21" s="2">
        <f t="shared" si="8"/>
        <v>1.1361277581125471</v>
      </c>
      <c r="D21" s="2">
        <f t="shared" si="9"/>
        <v>56.422416047325662</v>
      </c>
      <c r="E21" s="2">
        <f t="shared" si="10"/>
        <v>14.09682875976557</v>
      </c>
      <c r="K21">
        <f>K19</f>
        <v>3</v>
      </c>
      <c r="L21" s="2">
        <f>L20</f>
        <v>51.976004702537182</v>
      </c>
      <c r="M21" s="2">
        <f t="shared" si="3"/>
        <v>16.195714285714288</v>
      </c>
      <c r="S21" s="2">
        <f>S17/5</f>
        <v>1.5015200000000002</v>
      </c>
      <c r="T21" s="2">
        <f t="shared" si="13"/>
        <v>1.2253652516698847</v>
      </c>
      <c r="U21" s="2">
        <f t="shared" si="14"/>
        <v>4.7171642012181456</v>
      </c>
      <c r="V21" s="2">
        <f>U21-U22</f>
        <v>4.7171642012181456</v>
      </c>
      <c r="W21" s="11">
        <v>8.3000000000000001E-3</v>
      </c>
      <c r="X21" s="2">
        <f t="shared" si="12"/>
        <v>3.9152462870110608E-2</v>
      </c>
    </row>
    <row r="22" spans="1:24" x14ac:dyDescent="0.25">
      <c r="A22" s="7">
        <f t="shared" si="6"/>
        <v>53</v>
      </c>
      <c r="B22" s="2">
        <f t="shared" si="11"/>
        <v>14.156468253968255</v>
      </c>
      <c r="C22" s="2">
        <f t="shared" si="8"/>
        <v>1.131378522472082</v>
      </c>
      <c r="D22" s="2">
        <f t="shared" si="9"/>
        <v>55.291037524853579</v>
      </c>
      <c r="E22" s="2">
        <f t="shared" si="10"/>
        <v>13.835776375325466</v>
      </c>
      <c r="K22">
        <f>K18</f>
        <v>-3</v>
      </c>
      <c r="L22" s="2">
        <f>L18</f>
        <v>50.476004702537182</v>
      </c>
      <c r="M22" s="2">
        <f t="shared" si="3"/>
        <v>15.656468253968255</v>
      </c>
    </row>
    <row r="23" spans="1:24" x14ac:dyDescent="0.25">
      <c r="A23" s="7">
        <f t="shared" si="6"/>
        <v>52</v>
      </c>
      <c r="B23" s="2">
        <f t="shared" si="11"/>
        <v>13.627301587301588</v>
      </c>
      <c r="C23" s="2">
        <f t="shared" si="8"/>
        <v>1.1266994393666778</v>
      </c>
      <c r="D23" s="2">
        <f t="shared" si="9"/>
        <v>54.164338085486904</v>
      </c>
      <c r="E23" s="2">
        <f t="shared" si="10"/>
        <v>13.574723990885364</v>
      </c>
      <c r="K23">
        <f>K22</f>
        <v>-3</v>
      </c>
      <c r="L23" s="2">
        <f>L20</f>
        <v>51.976004702537182</v>
      </c>
      <c r="M23" s="2">
        <f t="shared" si="3"/>
        <v>15.127301587301588</v>
      </c>
    </row>
    <row r="24" spans="1:24" x14ac:dyDescent="0.25">
      <c r="A24" s="7">
        <f t="shared" si="6"/>
        <v>51</v>
      </c>
      <c r="B24" s="2">
        <f t="shared" si="11"/>
        <v>13.108214285714286</v>
      </c>
      <c r="C24" s="2">
        <f t="shared" si="8"/>
        <v>1.1220913863977691</v>
      </c>
      <c r="D24" s="2">
        <f t="shared" si="9"/>
        <v>53.042246699089134</v>
      </c>
      <c r="E24" s="2">
        <f t="shared" si="10"/>
        <v>13.313671606445261</v>
      </c>
      <c r="K24">
        <f>K19</f>
        <v>3</v>
      </c>
      <c r="L24" s="2">
        <f>L22</f>
        <v>50.476004702537182</v>
      </c>
      <c r="M24" s="2">
        <f t="shared" si="3"/>
        <v>14.608214285714286</v>
      </c>
    </row>
    <row r="25" spans="1:24" x14ac:dyDescent="0.25">
      <c r="A25" s="7">
        <f t="shared" si="6"/>
        <v>50</v>
      </c>
      <c r="B25" s="2">
        <f t="shared" si="11"/>
        <v>12.59920634920635</v>
      </c>
      <c r="C25" s="2">
        <f t="shared" si="8"/>
        <v>1.1175552422085251</v>
      </c>
      <c r="D25" s="2">
        <f t="shared" si="9"/>
        <v>51.924691456880609</v>
      </c>
      <c r="E25" s="2">
        <f t="shared" si="10"/>
        <v>13.052619222005157</v>
      </c>
      <c r="K25">
        <f>K19</f>
        <v>3</v>
      </c>
      <c r="L25" s="2">
        <f>L23</f>
        <v>51.976004702537182</v>
      </c>
      <c r="M25" s="2">
        <f t="shared" si="3"/>
        <v>14.09920634920635</v>
      </c>
    </row>
    <row r="26" spans="1:24" x14ac:dyDescent="0.25">
      <c r="A26" s="7">
        <f t="shared" si="6"/>
        <v>49</v>
      </c>
      <c r="B26" s="2">
        <f t="shared" si="11"/>
        <v>12.100277777777778</v>
      </c>
      <c r="C26" s="2">
        <f t="shared" si="8"/>
        <v>1.11309188594125</v>
      </c>
      <c r="D26" s="2">
        <f t="shared" si="9"/>
        <v>50.811599570939357</v>
      </c>
      <c r="E26" s="2">
        <f t="shared" si="10"/>
        <v>12.791566837565053</v>
      </c>
      <c r="K26" s="1" t="s">
        <v>46</v>
      </c>
      <c r="M26" s="2">
        <f t="shared" si="3"/>
        <v>13.600277777777778</v>
      </c>
    </row>
    <row r="27" spans="1:24" x14ac:dyDescent="0.25">
      <c r="A27" s="7">
        <f t="shared" si="6"/>
        <v>48</v>
      </c>
      <c r="B27" s="2">
        <f t="shared" si="11"/>
        <v>11.611428571428572</v>
      </c>
      <c r="C27" s="2">
        <f t="shared" si="8"/>
        <v>1.1087021966739079</v>
      </c>
      <c r="D27" s="2">
        <f t="shared" si="9"/>
        <v>49.702897374265447</v>
      </c>
      <c r="E27" s="2">
        <f t="shared" si="10"/>
        <v>12.530514453124951</v>
      </c>
      <c r="K27" s="7">
        <f>A21</f>
        <v>54</v>
      </c>
      <c r="L27" s="2">
        <f>B21</f>
        <v>14.695714285714287</v>
      </c>
      <c r="M27" s="2">
        <f t="shared" si="3"/>
        <v>13.111428571428572</v>
      </c>
    </row>
    <row r="28" spans="1:24" x14ac:dyDescent="0.25">
      <c r="A28" s="7">
        <f t="shared" si="6"/>
        <v>47</v>
      </c>
      <c r="B28" s="2">
        <f t="shared" si="11"/>
        <v>11.132658730158731</v>
      </c>
      <c r="C28" s="2">
        <f t="shared" si="8"/>
        <v>1.1043870528359407</v>
      </c>
      <c r="D28" s="2">
        <f t="shared" si="9"/>
        <v>48.598510321429508</v>
      </c>
      <c r="E28" s="2">
        <f t="shared" si="10"/>
        <v>12.269462068684849</v>
      </c>
      <c r="K28" s="7">
        <f>K27</f>
        <v>54</v>
      </c>
      <c r="L28" s="2">
        <f>M21</f>
        <v>16.195714285714288</v>
      </c>
      <c r="M28" s="2">
        <f t="shared" si="3"/>
        <v>12.632658730158731</v>
      </c>
    </row>
    <row r="29" spans="1:24" x14ac:dyDescent="0.25">
      <c r="A29" s="7">
        <f t="shared" si="6"/>
        <v>46</v>
      </c>
      <c r="B29" s="2">
        <f t="shared" si="11"/>
        <v>10.663968253968255</v>
      </c>
      <c r="C29" s="2">
        <f t="shared" si="8"/>
        <v>1.100147331603621</v>
      </c>
      <c r="D29" s="2">
        <f t="shared" si="9"/>
        <v>47.498362989825885</v>
      </c>
      <c r="E29" s="2">
        <f t="shared" si="10"/>
        <v>12.008409684244745</v>
      </c>
      <c r="K29" s="7">
        <f>-K27</f>
        <v>-54</v>
      </c>
      <c r="L29" s="2">
        <f>L27</f>
        <v>14.695714285714287</v>
      </c>
      <c r="M29" s="2">
        <f t="shared" si="3"/>
        <v>12.163968253968255</v>
      </c>
    </row>
    <row r="30" spans="1:24" x14ac:dyDescent="0.25">
      <c r="A30" s="7">
        <f t="shared" si="6"/>
        <v>45</v>
      </c>
      <c r="B30" s="2">
        <f t="shared" si="11"/>
        <v>10.205357142857144</v>
      </c>
      <c r="C30" s="2">
        <f t="shared" si="8"/>
        <v>1.0959839082752483</v>
      </c>
      <c r="D30" s="2">
        <f t="shared" si="9"/>
        <v>46.402379081550635</v>
      </c>
      <c r="E30" s="2">
        <f t="shared" si="10"/>
        <v>11.747357299804641</v>
      </c>
      <c r="K30" s="7">
        <f>-K28</f>
        <v>-54</v>
      </c>
      <c r="L30" s="2">
        <f>L28</f>
        <v>16.195714285714288</v>
      </c>
      <c r="M30" s="2">
        <f t="shared" si="3"/>
        <v>11.705357142857144</v>
      </c>
    </row>
    <row r="31" spans="1:24" x14ac:dyDescent="0.25">
      <c r="A31" s="7">
        <f t="shared" si="6"/>
        <v>44</v>
      </c>
      <c r="B31" s="2">
        <f t="shared" si="11"/>
        <v>9.7568253968253966</v>
      </c>
      <c r="C31" s="2">
        <f t="shared" si="8"/>
        <v>1.0918976556265754</v>
      </c>
      <c r="D31" s="2">
        <f t="shared" si="9"/>
        <v>45.31048142592406</v>
      </c>
      <c r="E31" s="2">
        <f t="shared" si="10"/>
        <v>11.486304915364538</v>
      </c>
      <c r="K31" s="1" t="s">
        <v>47</v>
      </c>
      <c r="M31" s="2">
        <f t="shared" si="3"/>
        <v>11.256825396825397</v>
      </c>
    </row>
    <row r="32" spans="1:24" x14ac:dyDescent="0.25">
      <c r="A32" s="7">
        <f t="shared" si="6"/>
        <v>43</v>
      </c>
      <c r="B32" s="2">
        <f t="shared" si="11"/>
        <v>9.318373015873016</v>
      </c>
      <c r="C32" s="2">
        <f t="shared" si="8"/>
        <v>1.0878894432469426</v>
      </c>
      <c r="D32" s="2">
        <f t="shared" si="9"/>
        <v>44.222591982677116</v>
      </c>
      <c r="E32" s="2">
        <f t="shared" si="10"/>
        <v>11.225252530924436</v>
      </c>
      <c r="K32" s="7">
        <f>A6</f>
        <v>69</v>
      </c>
      <c r="L32" s="2">
        <f>B6</f>
        <v>23.993928571428572</v>
      </c>
      <c r="M32" s="2">
        <f t="shared" si="3"/>
        <v>10.818373015873016</v>
      </c>
    </row>
    <row r="33" spans="1:13" x14ac:dyDescent="0.25">
      <c r="A33" s="7">
        <f t="shared" si="6"/>
        <v>42</v>
      </c>
      <c r="B33" s="2">
        <f t="shared" si="11"/>
        <v>8.89</v>
      </c>
      <c r="C33" s="2">
        <f t="shared" si="8"/>
        <v>1.0839601368566467</v>
      </c>
      <c r="D33" s="2">
        <f t="shared" si="9"/>
        <v>43.13863184582047</v>
      </c>
      <c r="E33" s="2">
        <f t="shared" si="10"/>
        <v>10.964200146484332</v>
      </c>
      <c r="K33" s="7">
        <f>K32</f>
        <v>69</v>
      </c>
      <c r="L33" s="2">
        <f>M6</f>
        <v>25.493928571428572</v>
      </c>
      <c r="M33" s="2">
        <f t="shared" si="3"/>
        <v>10.39</v>
      </c>
    </row>
    <row r="34" spans="1:13" x14ac:dyDescent="0.25">
      <c r="A34" s="7">
        <f t="shared" si="6"/>
        <v>41</v>
      </c>
      <c r="B34" s="2">
        <f t="shared" si="11"/>
        <v>8.4717063492063502</v>
      </c>
      <c r="C34" s="2">
        <f t="shared" si="8"/>
        <v>1.0801105976062015</v>
      </c>
      <c r="D34" s="2">
        <f t="shared" si="9"/>
        <v>42.058521248214269</v>
      </c>
      <c r="E34" s="2">
        <f t="shared" si="10"/>
        <v>10.703147762044228</v>
      </c>
      <c r="K34" s="7">
        <f>-K32</f>
        <v>-69</v>
      </c>
      <c r="L34" s="2">
        <f>L32</f>
        <v>23.993928571428572</v>
      </c>
      <c r="M34" s="2">
        <f t="shared" si="3"/>
        <v>9.9717063492063502</v>
      </c>
    </row>
    <row r="35" spans="1:13" x14ac:dyDescent="0.25">
      <c r="A35" s="7">
        <f t="shared" si="6"/>
        <v>40</v>
      </c>
      <c r="B35" s="2">
        <f t="shared" si="11"/>
        <v>8.0634920634920633</v>
      </c>
      <c r="C35" s="2">
        <f t="shared" si="8"/>
        <v>1.0763416813581894</v>
      </c>
      <c r="D35" s="2">
        <f t="shared" si="9"/>
        <v>40.982179566856082</v>
      </c>
      <c r="E35" s="2">
        <f t="shared" si="10"/>
        <v>10.442095377604126</v>
      </c>
      <c r="K35" s="7">
        <f>K34</f>
        <v>-69</v>
      </c>
      <c r="L35" s="2">
        <f>L33</f>
        <v>25.493928571428572</v>
      </c>
      <c r="M35" s="2">
        <f t="shared" si="3"/>
        <v>9.5634920634920633</v>
      </c>
    </row>
    <row r="36" spans="1:13" x14ac:dyDescent="0.25">
      <c r="A36" s="7">
        <f t="shared" si="6"/>
        <v>39</v>
      </c>
      <c r="B36" s="2">
        <f t="shared" si="11"/>
        <v>7.6653571428571432</v>
      </c>
      <c r="C36" s="2">
        <f t="shared" si="8"/>
        <v>1.0726542379525339</v>
      </c>
      <c r="D36" s="2">
        <f t="shared" si="9"/>
        <v>39.909525328903548</v>
      </c>
      <c r="E36" s="2">
        <f t="shared" si="10"/>
        <v>10.181042993164024</v>
      </c>
      <c r="K36" s="1" t="s">
        <v>48</v>
      </c>
      <c r="M36" s="2">
        <f t="shared" si="3"/>
        <v>9.1653571428571432</v>
      </c>
    </row>
    <row r="37" spans="1:13" x14ac:dyDescent="0.25">
      <c r="A37" s="7">
        <f t="shared" si="6"/>
        <v>38</v>
      </c>
      <c r="B37" s="2">
        <f t="shared" si="11"/>
        <v>7.2773015873015874</v>
      </c>
      <c r="C37" s="2">
        <f t="shared" si="8"/>
        <v>1.0690491104560598</v>
      </c>
      <c r="D37" s="2">
        <f t="shared" si="9"/>
        <v>38.840476218447492</v>
      </c>
      <c r="E37" s="2">
        <f t="shared" si="10"/>
        <v>9.9199906087239196</v>
      </c>
      <c r="K37" s="7">
        <f>A25</f>
        <v>50</v>
      </c>
      <c r="L37" s="2">
        <f>B25</f>
        <v>12.59920634920635</v>
      </c>
      <c r="M37" s="2">
        <f t="shared" si="3"/>
        <v>8.7773015873015865</v>
      </c>
    </row>
    <row r="38" spans="1:13" x14ac:dyDescent="0.25">
      <c r="A38" s="7">
        <f t="shared" si="6"/>
        <v>37</v>
      </c>
      <c r="B38" s="2">
        <f t="shared" si="11"/>
        <v>6.8993253968253976</v>
      </c>
      <c r="C38" s="2">
        <f t="shared" si="8"/>
        <v>1.065527134397366</v>
      </c>
      <c r="D38" s="2">
        <f t="shared" si="9"/>
        <v>37.774949084050128</v>
      </c>
      <c r="E38" s="2">
        <f t="shared" si="10"/>
        <v>9.6589382242838155</v>
      </c>
      <c r="K38" s="7">
        <f>K37</f>
        <v>50</v>
      </c>
      <c r="L38" s="2">
        <f>M25</f>
        <v>14.09920634920635</v>
      </c>
      <c r="M38" s="2">
        <f t="shared" si="3"/>
        <v>8.3993253968253967</v>
      </c>
    </row>
    <row r="39" spans="1:13" x14ac:dyDescent="0.25">
      <c r="A39" s="7">
        <f t="shared" si="6"/>
        <v>36</v>
      </c>
      <c r="B39" s="2">
        <f t="shared" si="11"/>
        <v>6.531428571428572</v>
      </c>
      <c r="C39" s="2">
        <f t="shared" si="8"/>
        <v>1.0620891369880578</v>
      </c>
      <c r="D39" s="2">
        <f t="shared" si="9"/>
        <v>36.712859947062071</v>
      </c>
      <c r="E39" s="2">
        <f t="shared" si="10"/>
        <v>9.3978858398437133</v>
      </c>
      <c r="K39" s="7">
        <f>-K37</f>
        <v>-50</v>
      </c>
      <c r="L39" s="2">
        <f>L37</f>
        <v>12.59920634920635</v>
      </c>
      <c r="M39" s="2">
        <f t="shared" si="3"/>
        <v>8.031428571428572</v>
      </c>
    </row>
    <row r="40" spans="1:13" x14ac:dyDescent="0.25">
      <c r="A40" s="7">
        <f t="shared" si="6"/>
        <v>35</v>
      </c>
      <c r="B40" s="2">
        <f t="shared" si="11"/>
        <v>6.1736111111111116</v>
      </c>
      <c r="C40" s="2">
        <f t="shared" si="8"/>
        <v>1.0587359363315381</v>
      </c>
      <c r="D40" s="2">
        <f t="shared" si="9"/>
        <v>35.654124010730534</v>
      </c>
      <c r="E40" s="2">
        <f t="shared" si="10"/>
        <v>9.136833455403611</v>
      </c>
      <c r="K40" s="7">
        <f>K39</f>
        <v>-50</v>
      </c>
      <c r="L40" s="2">
        <f>L38</f>
        <v>14.09920634920635</v>
      </c>
      <c r="M40" s="2">
        <f t="shared" si="3"/>
        <v>7.6736111111111116</v>
      </c>
    </row>
    <row r="41" spans="1:13" x14ac:dyDescent="0.25">
      <c r="A41" s="7">
        <f t="shared" si="6"/>
        <v>34</v>
      </c>
      <c r="B41" s="2">
        <f t="shared" si="11"/>
        <v>5.8258730158730163</v>
      </c>
      <c r="C41" s="2">
        <f t="shared" si="8"/>
        <v>1.0554683406206016</v>
      </c>
      <c r="D41" s="2">
        <f t="shared" si="9"/>
        <v>34.598655670109935</v>
      </c>
      <c r="E41" s="2">
        <f t="shared" si="10"/>
        <v>8.875781070963507</v>
      </c>
      <c r="K41" s="1" t="s">
        <v>49</v>
      </c>
      <c r="M41" s="2">
        <f t="shared" si="3"/>
        <v>7.3258730158730163</v>
      </c>
    </row>
    <row r="42" spans="1:13" x14ac:dyDescent="0.25">
      <c r="A42" s="7">
        <f t="shared" si="6"/>
        <v>33</v>
      </c>
      <c r="B42" s="2">
        <f t="shared" si="11"/>
        <v>5.4882142857142862</v>
      </c>
      <c r="C42" s="2">
        <f t="shared" si="8"/>
        <v>1.0522871473251965</v>
      </c>
      <c r="D42" s="2">
        <f t="shared" si="9"/>
        <v>33.546368522784739</v>
      </c>
      <c r="E42" s="2">
        <f t="shared" si="10"/>
        <v>8.614728686523403</v>
      </c>
      <c r="K42" s="7">
        <f>A69</f>
        <v>6</v>
      </c>
      <c r="L42" s="2">
        <f>B69</f>
        <v>0.18142857142857144</v>
      </c>
      <c r="M42" s="2">
        <f t="shared" si="3"/>
        <v>6.9882142857142862</v>
      </c>
    </row>
    <row r="43" spans="1:13" x14ac:dyDescent="0.25">
      <c r="A43" s="7">
        <f t="shared" si="6"/>
        <v>32</v>
      </c>
      <c r="B43" s="2">
        <f t="shared" si="11"/>
        <v>5.1606349206349211</v>
      </c>
      <c r="C43" s="2">
        <f t="shared" si="8"/>
        <v>1.0491931423717942</v>
      </c>
      <c r="D43" s="2">
        <f t="shared" si="9"/>
        <v>32.497175380412948</v>
      </c>
      <c r="E43" s="2">
        <f t="shared" si="10"/>
        <v>8.3536763020833007</v>
      </c>
      <c r="K43" s="7">
        <f>K42</f>
        <v>6</v>
      </c>
      <c r="L43" s="2">
        <f>M69</f>
        <v>1.6814285714285715</v>
      </c>
      <c r="M43" s="2">
        <f t="shared" si="3"/>
        <v>6.6606349206349211</v>
      </c>
    </row>
    <row r="44" spans="1:13" x14ac:dyDescent="0.25">
      <c r="A44" s="7">
        <f t="shared" si="6"/>
        <v>31</v>
      </c>
      <c r="B44" s="2">
        <f t="shared" si="11"/>
        <v>4.8431349206349212</v>
      </c>
      <c r="C44" s="2">
        <f t="shared" si="8"/>
        <v>1.046187099315895</v>
      </c>
      <c r="D44" s="2">
        <f t="shared" si="9"/>
        <v>31.450988281097054</v>
      </c>
      <c r="E44" s="2">
        <f t="shared" si="10"/>
        <v>8.0926239176431984</v>
      </c>
      <c r="K44" s="7">
        <f>-K42</f>
        <v>-6</v>
      </c>
      <c r="L44" s="2">
        <f>L42</f>
        <v>0.18142857142857144</v>
      </c>
      <c r="M44" s="2">
        <f t="shared" si="3"/>
        <v>6.3431349206349212</v>
      </c>
    </row>
    <row r="45" spans="1:13" x14ac:dyDescent="0.25">
      <c r="A45" s="7">
        <f t="shared" si="6"/>
        <v>30</v>
      </c>
      <c r="B45" s="2">
        <f t="shared" si="11"/>
        <v>4.5357142857142856</v>
      </c>
      <c r="C45" s="2">
        <f t="shared" si="8"/>
        <v>1.0432697785092879</v>
      </c>
      <c r="D45" s="2">
        <f t="shared" si="9"/>
        <v>30.407718502587766</v>
      </c>
      <c r="E45" s="2">
        <f t="shared" si="10"/>
        <v>7.8315715332030944</v>
      </c>
      <c r="K45" s="7">
        <f>K44</f>
        <v>-6</v>
      </c>
      <c r="L45" s="2">
        <f>L43</f>
        <v>1.6814285714285715</v>
      </c>
      <c r="M45" s="2">
        <f t="shared" si="3"/>
        <v>6.0357142857142856</v>
      </c>
    </row>
    <row r="46" spans="1:13" x14ac:dyDescent="0.25">
      <c r="A46" s="7">
        <f t="shared" si="6"/>
        <v>29</v>
      </c>
      <c r="B46" s="2">
        <f t="shared" si="11"/>
        <v>4.238373015873016</v>
      </c>
      <c r="C46" s="2">
        <f t="shared" si="8"/>
        <v>1.0404419262637572</v>
      </c>
      <c r="D46" s="2">
        <f t="shared" si="9"/>
        <v>29.367276576324009</v>
      </c>
      <c r="E46" s="2">
        <f t="shared" si="10"/>
        <v>7.5705191487629913</v>
      </c>
      <c r="K46" s="1" t="s">
        <v>50</v>
      </c>
      <c r="M46" s="2">
        <f t="shared" si="3"/>
        <v>5.738373015873016</v>
      </c>
    </row>
    <row r="47" spans="1:13" x14ac:dyDescent="0.25">
      <c r="A47" s="7">
        <f t="shared" si="6"/>
        <v>28</v>
      </c>
      <c r="B47" s="2">
        <f t="shared" si="11"/>
        <v>3.9511111111111115</v>
      </c>
      <c r="C47" s="2">
        <f t="shared" si="8"/>
        <v>1.0377042740130074</v>
      </c>
      <c r="D47" s="2">
        <f t="shared" si="9"/>
        <v>28.329572302311004</v>
      </c>
      <c r="E47" s="2">
        <f t="shared" si="10"/>
        <v>7.3094667643228881</v>
      </c>
      <c r="K47">
        <v>-3.75</v>
      </c>
      <c r="L47">
        <v>0</v>
      </c>
      <c r="M47" s="2">
        <f t="shared" si="3"/>
        <v>5.4511111111111115</v>
      </c>
    </row>
    <row r="48" spans="1:13" x14ac:dyDescent="0.25">
      <c r="A48" s="7">
        <f t="shared" si="6"/>
        <v>27</v>
      </c>
      <c r="B48" s="2">
        <f t="shared" si="11"/>
        <v>3.6739285714285717</v>
      </c>
      <c r="C48" s="2">
        <f t="shared" si="8"/>
        <v>1.0350575374746536</v>
      </c>
      <c r="D48" s="2">
        <f t="shared" si="9"/>
        <v>27.29451476483635</v>
      </c>
      <c r="E48" s="2">
        <f t="shared" si="10"/>
        <v>7.048414379882785</v>
      </c>
      <c r="K48">
        <f>K47</f>
        <v>-3.75</v>
      </c>
      <c r="L48" s="2">
        <f>H15+1</f>
        <v>51.476004702537182</v>
      </c>
      <c r="M48" s="2">
        <f t="shared" si="3"/>
        <v>5.1739285714285721</v>
      </c>
    </row>
    <row r="49" spans="1:13" x14ac:dyDescent="0.25">
      <c r="A49" s="7">
        <f t="shared" si="6"/>
        <v>26</v>
      </c>
      <c r="B49" s="2">
        <f t="shared" si="11"/>
        <v>3.406825396825397</v>
      </c>
      <c r="C49" s="2">
        <f t="shared" si="8"/>
        <v>1.0325024158141867</v>
      </c>
      <c r="D49" s="2">
        <f t="shared" si="9"/>
        <v>26.262012349022164</v>
      </c>
      <c r="E49" s="2">
        <f t="shared" si="10"/>
        <v>6.7873619954426818</v>
      </c>
      <c r="K49">
        <f>-K47</f>
        <v>3.75</v>
      </c>
      <c r="L49">
        <v>0</v>
      </c>
      <c r="M49" s="2">
        <f t="shared" si="3"/>
        <v>4.906825396825397</v>
      </c>
    </row>
    <row r="50" spans="1:13" x14ac:dyDescent="0.25">
      <c r="A50" s="7">
        <f t="shared" si="6"/>
        <v>25</v>
      </c>
      <c r="B50" s="2">
        <f t="shared" si="11"/>
        <v>3.1498015873015874</v>
      </c>
      <c r="C50" s="2">
        <f t="shared" si="8"/>
        <v>1.0300395908128848</v>
      </c>
      <c r="D50" s="2">
        <f t="shared" si="9"/>
        <v>25.231972758209281</v>
      </c>
      <c r="E50" s="2">
        <f t="shared" si="10"/>
        <v>6.5263096110025787</v>
      </c>
      <c r="K50">
        <f>K49</f>
        <v>3.75</v>
      </c>
      <c r="L50" s="2">
        <f>H15+1</f>
        <v>51.476004702537182</v>
      </c>
      <c r="M50" s="2">
        <f t="shared" si="3"/>
        <v>4.649801587301587</v>
      </c>
    </row>
    <row r="51" spans="1:13" x14ac:dyDescent="0.25">
      <c r="A51" s="7">
        <f t="shared" si="6"/>
        <v>24</v>
      </c>
      <c r="B51" s="2">
        <f t="shared" si="11"/>
        <v>2.902857142857143</v>
      </c>
      <c r="C51" s="2">
        <f t="shared" si="8"/>
        <v>1.0276697260417011</v>
      </c>
      <c r="D51" s="2">
        <f t="shared" si="9"/>
        <v>24.20430303216758</v>
      </c>
      <c r="E51" s="2">
        <f t="shared" si="10"/>
        <v>6.2652572265624755</v>
      </c>
      <c r="K51" s="1" t="s">
        <v>51</v>
      </c>
      <c r="M51" s="2">
        <f t="shared" si="3"/>
        <v>4.402857142857143</v>
      </c>
    </row>
    <row r="52" spans="1:13" x14ac:dyDescent="0.25">
      <c r="A52" s="7">
        <f t="shared" si="6"/>
        <v>23</v>
      </c>
      <c r="B52" s="2">
        <f t="shared" si="11"/>
        <v>2.6659920634920637</v>
      </c>
      <c r="C52" s="2">
        <f t="shared" si="8"/>
        <v>1.0253934660431974</v>
      </c>
      <c r="D52" s="2">
        <f t="shared" si="9"/>
        <v>23.178909566124382</v>
      </c>
      <c r="E52" s="2">
        <f t="shared" si="10"/>
        <v>6.0042048421223724</v>
      </c>
      <c r="K52">
        <f>-K6</f>
        <v>-4.5</v>
      </c>
      <c r="L52" s="2">
        <f>K11</f>
        <v>13.5</v>
      </c>
      <c r="M52" s="2">
        <f t="shared" si="3"/>
        <v>4.1659920634920642</v>
      </c>
    </row>
    <row r="53" spans="1:13" x14ac:dyDescent="0.25">
      <c r="A53" s="7">
        <f t="shared" si="6"/>
        <v>22</v>
      </c>
      <c r="B53" s="2">
        <f t="shared" si="11"/>
        <v>2.4392063492063492</v>
      </c>
      <c r="C53" s="2">
        <f t="shared" si="8"/>
        <v>1.0232114355236381</v>
      </c>
      <c r="D53" s="2">
        <f t="shared" si="9"/>
        <v>22.155698130600744</v>
      </c>
      <c r="E53" s="2">
        <f t="shared" si="10"/>
        <v>5.7431524576822692</v>
      </c>
      <c r="K53">
        <f>K6</f>
        <v>4.5</v>
      </c>
      <c r="L53" s="2">
        <f>L52</f>
        <v>13.5</v>
      </c>
      <c r="M53" s="2">
        <f t="shared" si="3"/>
        <v>3.9392063492063492</v>
      </c>
    </row>
    <row r="54" spans="1:13" x14ac:dyDescent="0.25">
      <c r="A54" s="7">
        <f t="shared" si="6"/>
        <v>21</v>
      </c>
      <c r="B54" s="2">
        <f t="shared" si="11"/>
        <v>2.2225000000000001</v>
      </c>
      <c r="C54" s="2">
        <f t="shared" si="8"/>
        <v>1.0211242385573918</v>
      </c>
      <c r="D54" s="2">
        <f t="shared" si="9"/>
        <v>21.134573892043353</v>
      </c>
      <c r="E54" s="2">
        <f t="shared" si="10"/>
        <v>5.4821000732421661</v>
      </c>
      <c r="K54" s="1" t="s">
        <v>52</v>
      </c>
      <c r="M54" s="2">
        <f t="shared" si="3"/>
        <v>3.7225000000000001</v>
      </c>
    </row>
    <row r="55" spans="1:13" x14ac:dyDescent="0.25">
      <c r="A55" s="7">
        <f t="shared" si="6"/>
        <v>20</v>
      </c>
      <c r="B55" s="2">
        <f t="shared" si="11"/>
        <v>2.0158730158730158</v>
      </c>
      <c r="C55" s="2">
        <f t="shared" si="8"/>
        <v>1.0191324578057988</v>
      </c>
      <c r="D55" s="2">
        <f t="shared" si="9"/>
        <v>20.115441434237553</v>
      </c>
      <c r="E55" s="2">
        <f t="shared" si="10"/>
        <v>5.2210476888020629</v>
      </c>
      <c r="K55">
        <f>K52</f>
        <v>-4.5</v>
      </c>
      <c r="L55" s="2">
        <f>L52</f>
        <v>13.5</v>
      </c>
      <c r="M55" s="2">
        <f t="shared" si="3"/>
        <v>3.5158730158730158</v>
      </c>
    </row>
    <row r="56" spans="1:13" x14ac:dyDescent="0.25">
      <c r="A56" s="7">
        <f t="shared" si="6"/>
        <v>19</v>
      </c>
      <c r="B56" s="2">
        <f t="shared" si="11"/>
        <v>1.8193253968253968</v>
      </c>
      <c r="C56" s="2">
        <f t="shared" si="8"/>
        <v>1.0172366537526896</v>
      </c>
      <c r="D56" s="2">
        <f t="shared" si="9"/>
        <v>19.098204780484863</v>
      </c>
      <c r="E56" s="2">
        <f t="shared" si="10"/>
        <v>4.9599953043619598</v>
      </c>
      <c r="K56">
        <f>-K5</f>
        <v>-28</v>
      </c>
      <c r="L56" s="2">
        <f>K9</f>
        <v>4.9511111111111115</v>
      </c>
      <c r="M56" s="2">
        <f t="shared" si="3"/>
        <v>3.3193253968253966</v>
      </c>
    </row>
    <row r="57" spans="1:13" x14ac:dyDescent="0.25">
      <c r="A57" s="7">
        <f t="shared" si="6"/>
        <v>18</v>
      </c>
      <c r="B57" s="2">
        <f t="shared" si="11"/>
        <v>1.632857142857143</v>
      </c>
      <c r="C57" s="2">
        <f t="shared" si="8"/>
        <v>1.0154373639587313</v>
      </c>
      <c r="D57" s="2">
        <f t="shared" si="9"/>
        <v>18.082767416526131</v>
      </c>
      <c r="E57" s="2">
        <f t="shared" si="10"/>
        <v>4.6989429199218566</v>
      </c>
      <c r="K57">
        <f>-K55</f>
        <v>4.5</v>
      </c>
      <c r="L57" s="2">
        <f>L55</f>
        <v>13.5</v>
      </c>
      <c r="M57" s="2">
        <f t="shared" si="3"/>
        <v>3.132857142857143</v>
      </c>
    </row>
    <row r="58" spans="1:13" x14ac:dyDescent="0.25">
      <c r="A58" s="7">
        <f t="shared" si="6"/>
        <v>17</v>
      </c>
      <c r="B58" s="2">
        <f t="shared" si="11"/>
        <v>1.4564682539682541</v>
      </c>
      <c r="C58" s="2">
        <f t="shared" si="8"/>
        <v>1.0137351023367744</v>
      </c>
      <c r="D58" s="2">
        <f t="shared" si="9"/>
        <v>17.069032314189357</v>
      </c>
      <c r="E58" s="2">
        <f t="shared" si="10"/>
        <v>4.4378905354817535</v>
      </c>
      <c r="K58">
        <f>-K56</f>
        <v>28</v>
      </c>
      <c r="L58" s="2">
        <f>L56</f>
        <v>4.9511111111111115</v>
      </c>
      <c r="M58" s="2">
        <f t="shared" si="3"/>
        <v>2.9564682539682541</v>
      </c>
    </row>
    <row r="59" spans="1:13" x14ac:dyDescent="0.25">
      <c r="A59" s="7">
        <f t="shared" si="6"/>
        <v>16</v>
      </c>
      <c r="B59" s="2">
        <f t="shared" si="11"/>
        <v>1.2901587301587303</v>
      </c>
      <c r="C59" s="2">
        <f t="shared" si="8"/>
        <v>1.0121303584503583</v>
      </c>
      <c r="D59" s="2">
        <f t="shared" si="9"/>
        <v>16.056901955739001</v>
      </c>
      <c r="E59" s="2">
        <f t="shared" si="10"/>
        <v>4.1768381510416503</v>
      </c>
      <c r="K59" s="1" t="s">
        <v>53</v>
      </c>
      <c r="M59" s="2">
        <f t="shared" si="3"/>
        <v>2.7901587301587303</v>
      </c>
    </row>
    <row r="60" spans="1:13" x14ac:dyDescent="0.25">
      <c r="A60" s="7">
        <f t="shared" si="6"/>
        <v>15</v>
      </c>
      <c r="B60" s="2">
        <f t="shared" si="11"/>
        <v>1.1339285714285714</v>
      </c>
      <c r="C60" s="2">
        <f t="shared" si="8"/>
        <v>1.0106235968374955</v>
      </c>
      <c r="D60" s="2">
        <f t="shared" si="9"/>
        <v>15.046278358901505</v>
      </c>
      <c r="E60" s="2">
        <f t="shared" si="10"/>
        <v>3.9157857666015472</v>
      </c>
      <c r="K60">
        <v>-12</v>
      </c>
      <c r="L60">
        <f>-0.75</f>
        <v>-0.75</v>
      </c>
      <c r="M60" s="2">
        <f t="shared" si="3"/>
        <v>2.6339285714285712</v>
      </c>
    </row>
    <row r="61" spans="1:13" x14ac:dyDescent="0.25">
      <c r="A61" s="7">
        <f t="shared" si="6"/>
        <v>14</v>
      </c>
      <c r="B61" s="2">
        <f t="shared" si="11"/>
        <v>0.98777777777777787</v>
      </c>
      <c r="C61" s="2">
        <f t="shared" si="8"/>
        <v>1.0092152563618275</v>
      </c>
      <c r="D61" s="2">
        <f t="shared" si="9"/>
        <v>14.037063102539678</v>
      </c>
      <c r="E61" s="2">
        <f t="shared" si="10"/>
        <v>3.6547333821614441</v>
      </c>
      <c r="K61">
        <f>-K60</f>
        <v>12</v>
      </c>
      <c r="L61">
        <f>L60</f>
        <v>-0.75</v>
      </c>
      <c r="M61" s="2">
        <f t="shared" si="3"/>
        <v>2.4877777777777776</v>
      </c>
    </row>
    <row r="62" spans="1:13" x14ac:dyDescent="0.25">
      <c r="A62" s="7">
        <f t="shared" si="6"/>
        <v>13</v>
      </c>
      <c r="B62" s="2">
        <f t="shared" si="11"/>
        <v>0.85170634920634924</v>
      </c>
      <c r="C62" s="2">
        <f t="shared" si="8"/>
        <v>1.0079057495931791</v>
      </c>
      <c r="D62" s="2">
        <f t="shared" si="9"/>
        <v>13.029157352946498</v>
      </c>
      <c r="E62" s="2">
        <f t="shared" si="10"/>
        <v>3.3936809977213409</v>
      </c>
      <c r="M62" s="2">
        <f t="shared" si="3"/>
        <v>2.3517063492063492</v>
      </c>
    </row>
    <row r="63" spans="1:13" x14ac:dyDescent="0.25">
      <c r="A63" s="7">
        <f t="shared" si="6"/>
        <v>12</v>
      </c>
      <c r="B63" s="2">
        <f t="shared" si="11"/>
        <v>0.72571428571428576</v>
      </c>
      <c r="C63" s="2">
        <f t="shared" si="8"/>
        <v>1.0066954622194904</v>
      </c>
      <c r="D63" s="2">
        <f t="shared" si="9"/>
        <v>12.022461890727008</v>
      </c>
      <c r="E63" s="2">
        <f t="shared" si="10"/>
        <v>3.1326286132812378</v>
      </c>
      <c r="M63" s="2">
        <f t="shared" si="3"/>
        <v>2.225714285714286</v>
      </c>
    </row>
    <row r="64" spans="1:13" x14ac:dyDescent="0.25">
      <c r="A64" s="7">
        <f t="shared" si="6"/>
        <v>11</v>
      </c>
      <c r="B64" s="2">
        <f t="shared" si="11"/>
        <v>0.60980158730158729</v>
      </c>
      <c r="C64" s="2">
        <f t="shared" si="8"/>
        <v>1.0055847524920236</v>
      </c>
      <c r="D64" s="2">
        <f t="shared" si="9"/>
        <v>11.016877138234985</v>
      </c>
      <c r="E64" s="2">
        <f t="shared" si="10"/>
        <v>2.8715762288411346</v>
      </c>
      <c r="M64" s="2">
        <f t="shared" si="3"/>
        <v>2.1098015873015874</v>
      </c>
    </row>
    <row r="65" spans="1:13" x14ac:dyDescent="0.25">
      <c r="A65" s="7">
        <f t="shared" si="6"/>
        <v>10</v>
      </c>
      <c r="B65" s="2">
        <f t="shared" si="11"/>
        <v>0.50396825396825395</v>
      </c>
      <c r="C65" s="2">
        <f t="shared" si="8"/>
        <v>1.0045739507056621</v>
      </c>
      <c r="D65" s="2">
        <f t="shared" si="9"/>
        <v>10.012303187529323</v>
      </c>
      <c r="E65" s="2">
        <f t="shared" si="10"/>
        <v>2.6105238444010315</v>
      </c>
      <c r="M65" s="2">
        <f t="shared" si="3"/>
        <v>2.003968253968254</v>
      </c>
    </row>
    <row r="66" spans="1:13" x14ac:dyDescent="0.25">
      <c r="A66" s="7">
        <f t="shared" si="6"/>
        <v>9</v>
      </c>
      <c r="B66" s="2">
        <f t="shared" si="11"/>
        <v>0.40821428571428575</v>
      </c>
      <c r="C66" s="2">
        <f t="shared" si="8"/>
        <v>1.0036633587160217</v>
      </c>
      <c r="D66" s="2">
        <f t="shared" si="9"/>
        <v>9.0086398288133012</v>
      </c>
      <c r="E66" s="2">
        <f t="shared" si="10"/>
        <v>2.3494714599609283</v>
      </c>
      <c r="M66" s="2">
        <f t="shared" si="3"/>
        <v>1.9082142857142856</v>
      </c>
    </row>
    <row r="67" spans="1:13" x14ac:dyDescent="0.25">
      <c r="A67" s="7">
        <f t="shared" si="6"/>
        <v>8</v>
      </c>
      <c r="B67" s="2">
        <f t="shared" si="11"/>
        <v>0.32253968253968257</v>
      </c>
      <c r="C67" s="2">
        <f t="shared" si="8"/>
        <v>1.0028532494949975</v>
      </c>
      <c r="D67" s="2">
        <f t="shared" si="9"/>
        <v>8.0057865793183041</v>
      </c>
      <c r="E67" s="2">
        <f t="shared" si="10"/>
        <v>2.0884190755208252</v>
      </c>
      <c r="M67" s="2">
        <f t="shared" si="3"/>
        <v>1.8225396825396825</v>
      </c>
    </row>
    <row r="68" spans="1:13" x14ac:dyDescent="0.25">
      <c r="A68" s="7">
        <f t="shared" si="6"/>
        <v>7</v>
      </c>
      <c r="B68" s="2">
        <f t="shared" si="11"/>
        <v>0.24694444444444447</v>
      </c>
      <c r="C68" s="2">
        <f t="shared" si="8"/>
        <v>1.0021438667262461</v>
      </c>
      <c r="D68" s="2">
        <f t="shared" si="9"/>
        <v>7.0036427125920584</v>
      </c>
      <c r="E68" s="2">
        <f t="shared" si="10"/>
        <v>1.827366691080722</v>
      </c>
      <c r="M68" s="2">
        <f t="shared" si="3"/>
        <v>1.7469444444444444</v>
      </c>
    </row>
    <row r="69" spans="1:13" x14ac:dyDescent="0.25">
      <c r="A69" s="7">
        <f t="shared" si="6"/>
        <v>6</v>
      </c>
      <c r="B69" s="2">
        <f t="shared" si="11"/>
        <v>0.18142857142857144</v>
      </c>
      <c r="C69" s="2">
        <f t="shared" si="8"/>
        <v>1.0015354244419887</v>
      </c>
      <c r="D69" s="2">
        <f t="shared" si="9"/>
        <v>6.0021072881500697</v>
      </c>
      <c r="E69" s="2">
        <f t="shared" si="10"/>
        <v>1.5663143066406189</v>
      </c>
      <c r="M69" s="2">
        <f t="shared" si="3"/>
        <v>1.6814285714285715</v>
      </c>
    </row>
    <row r="70" spans="1:13" x14ac:dyDescent="0.25">
      <c r="A70" s="7">
        <f t="shared" si="6"/>
        <v>5</v>
      </c>
      <c r="B70" s="2">
        <f t="shared" si="11"/>
        <v>0.12599206349206349</v>
      </c>
      <c r="C70" s="2">
        <f t="shared" si="8"/>
        <v>1.0010281067023858</v>
      </c>
      <c r="D70" s="2">
        <f t="shared" si="9"/>
        <v>5.0010791814476843</v>
      </c>
      <c r="E70" s="2">
        <f t="shared" si="10"/>
        <v>1.3052619222005157</v>
      </c>
      <c r="M70" s="2">
        <f t="shared" si="3"/>
        <v>1.6259920634920635</v>
      </c>
    </row>
    <row r="71" spans="1:13" x14ac:dyDescent="0.25">
      <c r="A71" s="7">
        <f t="shared" si="6"/>
        <v>4</v>
      </c>
      <c r="B71" s="2">
        <f t="shared" si="11"/>
        <v>8.0634920634920643E-2</v>
      </c>
      <c r="C71" s="2">
        <f t="shared" si="8"/>
        <v>1.0006220673185948</v>
      </c>
      <c r="D71" s="2">
        <f t="shared" si="9"/>
        <v>4.0004571141290892</v>
      </c>
      <c r="E71" s="2">
        <f t="shared" si="10"/>
        <v>1.0442095377604126</v>
      </c>
      <c r="M71" s="2">
        <f t="shared" ref="M71:M134" si="15">B71+1.5</f>
        <v>1.5806349206349206</v>
      </c>
    </row>
    <row r="72" spans="1:13" x14ac:dyDescent="0.25">
      <c r="A72" s="7">
        <f t="shared" ref="A72:A135" si="16">A71-1</f>
        <v>3</v>
      </c>
      <c r="B72" s="2">
        <f t="shared" si="11"/>
        <v>4.535714285714286E-2</v>
      </c>
      <c r="C72" s="2">
        <f t="shared" si="8"/>
        <v>1.0003174296204778</v>
      </c>
      <c r="D72" s="2">
        <f t="shared" si="9"/>
        <v>3.0001396845086115</v>
      </c>
      <c r="E72" s="2">
        <f t="shared" si="10"/>
        <v>0.78315715332030944</v>
      </c>
      <c r="M72" s="2">
        <f t="shared" si="15"/>
        <v>1.5453571428571429</v>
      </c>
    </row>
    <row r="73" spans="1:13" x14ac:dyDescent="0.25">
      <c r="A73" s="7">
        <f t="shared" si="16"/>
        <v>2</v>
      </c>
      <c r="B73" s="2">
        <f t="shared" si="11"/>
        <v>2.0158730158730161E-2</v>
      </c>
      <c r="C73" s="2">
        <f t="shared" si="8"/>
        <v>1.0001142862697778</v>
      </c>
      <c r="D73" s="2">
        <f t="shared" si="9"/>
        <v>2.0000253982388334</v>
      </c>
      <c r="E73" s="2">
        <f t="shared" si="10"/>
        <v>0.52210476888020629</v>
      </c>
      <c r="M73" s="2">
        <f t="shared" si="15"/>
        <v>1.5201587301587303</v>
      </c>
    </row>
    <row r="74" spans="1:13" x14ac:dyDescent="0.25">
      <c r="A74" s="7">
        <f t="shared" si="16"/>
        <v>1</v>
      </c>
      <c r="B74" s="2">
        <f t="shared" si="11"/>
        <v>5.0396825396825402E-3</v>
      </c>
      <c r="C74" s="2">
        <f t="shared" si="8"/>
        <v>1.0000126991194167</v>
      </c>
      <c r="D74" s="2">
        <f t="shared" si="9"/>
        <v>1.0000126991194167</v>
      </c>
      <c r="E74" s="2">
        <f t="shared" si="10"/>
        <v>0.26105238444010315</v>
      </c>
      <c r="M74" s="2">
        <f t="shared" si="15"/>
        <v>1.5050396825396826</v>
      </c>
    </row>
    <row r="75" spans="1:13" x14ac:dyDescent="0.25">
      <c r="A75" s="7">
        <f t="shared" si="16"/>
        <v>0</v>
      </c>
      <c r="B75" s="2">
        <f t="shared" si="11"/>
        <v>0</v>
      </c>
      <c r="C75" s="2">
        <f t="shared" si="8"/>
        <v>1.0000126991194167</v>
      </c>
      <c r="D75" s="2">
        <f t="shared" si="9"/>
        <v>0</v>
      </c>
      <c r="E75" s="2">
        <f t="shared" si="10"/>
        <v>0</v>
      </c>
      <c r="M75" s="2">
        <f t="shared" si="15"/>
        <v>1.5</v>
      </c>
    </row>
    <row r="76" spans="1:13" x14ac:dyDescent="0.25">
      <c r="A76" s="7">
        <f t="shared" si="16"/>
        <v>-1</v>
      </c>
      <c r="B76" s="2">
        <f t="shared" si="11"/>
        <v>5.0396825396825402E-3</v>
      </c>
      <c r="C76" s="2">
        <f t="shared" si="8"/>
        <v>1.0001142862697778</v>
      </c>
      <c r="D76" s="2">
        <f t="shared" si="9"/>
        <v>0</v>
      </c>
      <c r="E76" s="2">
        <f t="shared" si="10"/>
        <v>-0.26105238444010315</v>
      </c>
      <c r="M76" s="2">
        <f t="shared" si="15"/>
        <v>1.5050396825396826</v>
      </c>
    </row>
    <row r="77" spans="1:13" x14ac:dyDescent="0.25">
      <c r="A77" s="7">
        <f t="shared" si="16"/>
        <v>-2</v>
      </c>
      <c r="B77" s="2">
        <f t="shared" si="11"/>
        <v>2.0158730158730161E-2</v>
      </c>
      <c r="C77" s="2">
        <f t="shared" si="8"/>
        <v>1.0003174296204778</v>
      </c>
      <c r="D77" s="2">
        <f t="shared" si="9"/>
        <v>0</v>
      </c>
      <c r="E77" s="2">
        <f t="shared" si="10"/>
        <v>-0.52210476888020629</v>
      </c>
      <c r="M77" s="2">
        <f t="shared" si="15"/>
        <v>1.5201587301587303</v>
      </c>
    </row>
    <row r="78" spans="1:13" x14ac:dyDescent="0.25">
      <c r="A78" s="7">
        <f t="shared" si="16"/>
        <v>-3</v>
      </c>
      <c r="B78" s="2">
        <f t="shared" si="11"/>
        <v>4.535714285714286E-2</v>
      </c>
      <c r="C78" s="2">
        <f t="shared" ref="C78:C141" si="17">SQRT((B79-B78)^2+(A79-A78)^2)</f>
        <v>1.0006220673185948</v>
      </c>
      <c r="D78" s="2">
        <f t="shared" ref="D78:D141" si="18">IF(A78&lt;0.13,0,C79+D79)</f>
        <v>0</v>
      </c>
      <c r="E78" s="2">
        <f t="shared" ref="E78:E141" si="19">2*(A78)*SIN(RADIANS($D$4/2))</f>
        <v>-0.78315715332030944</v>
      </c>
      <c r="M78" s="2">
        <f t="shared" si="15"/>
        <v>1.5453571428571429</v>
      </c>
    </row>
    <row r="79" spans="1:13" x14ac:dyDescent="0.25">
      <c r="A79" s="7">
        <f t="shared" si="16"/>
        <v>-4</v>
      </c>
      <c r="B79" s="2">
        <f t="shared" ref="B79:B142" si="20">A79^2/(4*$B$4*$B$2*100/2.54)</f>
        <v>8.0634920634920643E-2</v>
      </c>
      <c r="C79" s="2">
        <f t="shared" si="17"/>
        <v>1.0010281067023858</v>
      </c>
      <c r="D79" s="2">
        <f t="shared" si="18"/>
        <v>0</v>
      </c>
      <c r="E79" s="2">
        <f t="shared" si="19"/>
        <v>-1.0442095377604126</v>
      </c>
      <c r="M79" s="2">
        <f t="shared" si="15"/>
        <v>1.5806349206349206</v>
      </c>
    </row>
    <row r="80" spans="1:13" x14ac:dyDescent="0.25">
      <c r="A80" s="7">
        <f t="shared" si="16"/>
        <v>-5</v>
      </c>
      <c r="B80" s="2">
        <f t="shared" si="20"/>
        <v>0.12599206349206349</v>
      </c>
      <c r="C80" s="2">
        <f t="shared" si="17"/>
        <v>1.0015354244419887</v>
      </c>
      <c r="D80" s="2">
        <f t="shared" si="18"/>
        <v>0</v>
      </c>
      <c r="E80" s="2">
        <f t="shared" si="19"/>
        <v>-1.3052619222005157</v>
      </c>
      <c r="M80" s="2">
        <f t="shared" si="15"/>
        <v>1.6259920634920635</v>
      </c>
    </row>
    <row r="81" spans="1:13" x14ac:dyDescent="0.25">
      <c r="A81" s="7">
        <f t="shared" si="16"/>
        <v>-6</v>
      </c>
      <c r="B81" s="2">
        <f t="shared" si="20"/>
        <v>0.18142857142857144</v>
      </c>
      <c r="C81" s="2">
        <f t="shared" si="17"/>
        <v>1.0021438667262461</v>
      </c>
      <c r="D81" s="2">
        <f t="shared" si="18"/>
        <v>0</v>
      </c>
      <c r="E81" s="2">
        <f t="shared" si="19"/>
        <v>-1.5663143066406189</v>
      </c>
      <c r="M81" s="2">
        <f t="shared" si="15"/>
        <v>1.6814285714285715</v>
      </c>
    </row>
    <row r="82" spans="1:13" x14ac:dyDescent="0.25">
      <c r="A82" s="7">
        <f t="shared" si="16"/>
        <v>-7</v>
      </c>
      <c r="B82" s="2">
        <f t="shared" si="20"/>
        <v>0.24694444444444447</v>
      </c>
      <c r="C82" s="2">
        <f t="shared" si="17"/>
        <v>1.0028532494949975</v>
      </c>
      <c r="D82" s="2">
        <f t="shared" si="18"/>
        <v>0</v>
      </c>
      <c r="E82" s="2">
        <f t="shared" si="19"/>
        <v>-1.827366691080722</v>
      </c>
      <c r="M82" s="2">
        <f t="shared" si="15"/>
        <v>1.7469444444444444</v>
      </c>
    </row>
    <row r="83" spans="1:13" x14ac:dyDescent="0.25">
      <c r="A83" s="7">
        <f t="shared" si="16"/>
        <v>-8</v>
      </c>
      <c r="B83" s="2">
        <f t="shared" si="20"/>
        <v>0.32253968253968257</v>
      </c>
      <c r="C83" s="2">
        <f t="shared" si="17"/>
        <v>1.0036633587160217</v>
      </c>
      <c r="D83" s="2">
        <f t="shared" si="18"/>
        <v>0</v>
      </c>
      <c r="E83" s="2">
        <f t="shared" si="19"/>
        <v>-2.0884190755208252</v>
      </c>
      <c r="M83" s="2">
        <f t="shared" si="15"/>
        <v>1.8225396825396825</v>
      </c>
    </row>
    <row r="84" spans="1:13" x14ac:dyDescent="0.25">
      <c r="A84" s="7">
        <f t="shared" si="16"/>
        <v>-9</v>
      </c>
      <c r="B84" s="2">
        <f t="shared" si="20"/>
        <v>0.40821428571428575</v>
      </c>
      <c r="C84" s="2">
        <f t="shared" si="17"/>
        <v>1.0045739507056621</v>
      </c>
      <c r="D84" s="2">
        <f t="shared" si="18"/>
        <v>0</v>
      </c>
      <c r="E84" s="2">
        <f t="shared" si="19"/>
        <v>-2.3494714599609283</v>
      </c>
      <c r="M84" s="2">
        <f t="shared" si="15"/>
        <v>1.9082142857142856</v>
      </c>
    </row>
    <row r="85" spans="1:13" x14ac:dyDescent="0.25">
      <c r="A85" s="7">
        <f t="shared" si="16"/>
        <v>-10</v>
      </c>
      <c r="B85" s="2">
        <f t="shared" si="20"/>
        <v>0.50396825396825395</v>
      </c>
      <c r="C85" s="2">
        <f t="shared" si="17"/>
        <v>1.0055847524920236</v>
      </c>
      <c r="D85" s="2">
        <f t="shared" si="18"/>
        <v>0</v>
      </c>
      <c r="E85" s="2">
        <f t="shared" si="19"/>
        <v>-2.6105238444010315</v>
      </c>
      <c r="M85" s="2">
        <f t="shared" si="15"/>
        <v>2.003968253968254</v>
      </c>
    </row>
    <row r="86" spans="1:13" x14ac:dyDescent="0.25">
      <c r="A86" s="7">
        <f t="shared" si="16"/>
        <v>-11</v>
      </c>
      <c r="B86" s="2">
        <f t="shared" si="20"/>
        <v>0.60980158730158729</v>
      </c>
      <c r="C86" s="2">
        <f t="shared" si="17"/>
        <v>1.0066954622194904</v>
      </c>
      <c r="D86" s="2">
        <f t="shared" si="18"/>
        <v>0</v>
      </c>
      <c r="E86" s="2">
        <f t="shared" si="19"/>
        <v>-2.8715762288411346</v>
      </c>
      <c r="M86" s="2">
        <f t="shared" si="15"/>
        <v>2.1098015873015874</v>
      </c>
    </row>
    <row r="87" spans="1:13" x14ac:dyDescent="0.25">
      <c r="A87" s="7">
        <f t="shared" si="16"/>
        <v>-12</v>
      </c>
      <c r="B87" s="2">
        <f t="shared" si="20"/>
        <v>0.72571428571428576</v>
      </c>
      <c r="C87" s="2">
        <f t="shared" si="17"/>
        <v>1.0079057495931791</v>
      </c>
      <c r="D87" s="2">
        <f t="shared" si="18"/>
        <v>0</v>
      </c>
      <c r="E87" s="2">
        <f t="shared" si="19"/>
        <v>-3.1326286132812378</v>
      </c>
      <c r="M87" s="2">
        <f t="shared" si="15"/>
        <v>2.225714285714286</v>
      </c>
    </row>
    <row r="88" spans="1:13" x14ac:dyDescent="0.25">
      <c r="A88" s="7">
        <f t="shared" si="16"/>
        <v>-13</v>
      </c>
      <c r="B88" s="2">
        <f t="shared" si="20"/>
        <v>0.85170634920634924</v>
      </c>
      <c r="C88" s="2">
        <f t="shared" si="17"/>
        <v>1.0092152563618275</v>
      </c>
      <c r="D88" s="2">
        <f t="shared" si="18"/>
        <v>0</v>
      </c>
      <c r="E88" s="2">
        <f t="shared" si="19"/>
        <v>-3.3936809977213409</v>
      </c>
      <c r="M88" s="2">
        <f t="shared" si="15"/>
        <v>2.3517063492063492</v>
      </c>
    </row>
    <row r="89" spans="1:13" x14ac:dyDescent="0.25">
      <c r="A89" s="7">
        <f t="shared" si="16"/>
        <v>-14</v>
      </c>
      <c r="B89" s="2">
        <f t="shared" si="20"/>
        <v>0.98777777777777787</v>
      </c>
      <c r="C89" s="2">
        <f t="shared" si="17"/>
        <v>1.0106235968374955</v>
      </c>
      <c r="D89" s="2">
        <f t="shared" si="18"/>
        <v>0</v>
      </c>
      <c r="E89" s="2">
        <f t="shared" si="19"/>
        <v>-3.6547333821614441</v>
      </c>
      <c r="M89" s="2">
        <f t="shared" si="15"/>
        <v>2.4877777777777776</v>
      </c>
    </row>
    <row r="90" spans="1:13" x14ac:dyDescent="0.25">
      <c r="A90" s="7">
        <f t="shared" si="16"/>
        <v>-15</v>
      </c>
      <c r="B90" s="2">
        <f t="shared" si="20"/>
        <v>1.1339285714285714</v>
      </c>
      <c r="C90" s="2">
        <f t="shared" si="17"/>
        <v>1.0121303584503583</v>
      </c>
      <c r="D90" s="2">
        <f t="shared" si="18"/>
        <v>0</v>
      </c>
      <c r="E90" s="2">
        <f t="shared" si="19"/>
        <v>-3.9157857666015472</v>
      </c>
      <c r="M90" s="2">
        <f t="shared" si="15"/>
        <v>2.6339285714285712</v>
      </c>
    </row>
    <row r="91" spans="1:13" x14ac:dyDescent="0.25">
      <c r="A91" s="7">
        <f t="shared" si="16"/>
        <v>-16</v>
      </c>
      <c r="B91" s="2">
        <f t="shared" si="20"/>
        <v>1.2901587301587303</v>
      </c>
      <c r="C91" s="2">
        <f t="shared" si="17"/>
        <v>1.0137351023367744</v>
      </c>
      <c r="D91" s="2">
        <f t="shared" si="18"/>
        <v>0</v>
      </c>
      <c r="E91" s="2">
        <f t="shared" si="19"/>
        <v>-4.1768381510416503</v>
      </c>
      <c r="M91" s="2">
        <f t="shared" si="15"/>
        <v>2.7901587301587303</v>
      </c>
    </row>
    <row r="92" spans="1:13" x14ac:dyDescent="0.25">
      <c r="A92" s="7">
        <f t="shared" si="16"/>
        <v>-17</v>
      </c>
      <c r="B92" s="2">
        <f t="shared" si="20"/>
        <v>1.4564682539682541</v>
      </c>
      <c r="C92" s="2">
        <f t="shared" si="17"/>
        <v>1.0154373639587313</v>
      </c>
      <c r="D92" s="2">
        <f t="shared" si="18"/>
        <v>0</v>
      </c>
      <c r="E92" s="2">
        <f t="shared" si="19"/>
        <v>-4.4378905354817535</v>
      </c>
      <c r="M92" s="2">
        <f t="shared" si="15"/>
        <v>2.9564682539682541</v>
      </c>
    </row>
    <row r="93" spans="1:13" x14ac:dyDescent="0.25">
      <c r="A93" s="7">
        <f t="shared" si="16"/>
        <v>-18</v>
      </c>
      <c r="B93" s="2">
        <f t="shared" si="20"/>
        <v>1.632857142857143</v>
      </c>
      <c r="C93" s="2">
        <f t="shared" si="17"/>
        <v>1.0172366537526896</v>
      </c>
      <c r="D93" s="2">
        <f t="shared" si="18"/>
        <v>0</v>
      </c>
      <c r="E93" s="2">
        <f t="shared" si="19"/>
        <v>-4.6989429199218566</v>
      </c>
      <c r="M93" s="2">
        <f t="shared" si="15"/>
        <v>3.132857142857143</v>
      </c>
    </row>
    <row r="94" spans="1:13" x14ac:dyDescent="0.25">
      <c r="A94" s="7">
        <f t="shared" si="16"/>
        <v>-19</v>
      </c>
      <c r="B94" s="2">
        <f t="shared" si="20"/>
        <v>1.8193253968253968</v>
      </c>
      <c r="C94" s="2">
        <f t="shared" si="17"/>
        <v>1.0191324578057988</v>
      </c>
      <c r="D94" s="2">
        <f t="shared" si="18"/>
        <v>0</v>
      </c>
      <c r="E94" s="2">
        <f t="shared" si="19"/>
        <v>-4.9599953043619598</v>
      </c>
      <c r="M94" s="2">
        <f t="shared" si="15"/>
        <v>3.3193253968253966</v>
      </c>
    </row>
    <row r="95" spans="1:13" x14ac:dyDescent="0.25">
      <c r="A95" s="7">
        <f t="shared" si="16"/>
        <v>-20</v>
      </c>
      <c r="B95" s="2">
        <f t="shared" si="20"/>
        <v>2.0158730158730158</v>
      </c>
      <c r="C95" s="2">
        <f t="shared" si="17"/>
        <v>1.0211242385573918</v>
      </c>
      <c r="D95" s="2">
        <f t="shared" si="18"/>
        <v>0</v>
      </c>
      <c r="E95" s="2">
        <f t="shared" si="19"/>
        <v>-5.2210476888020629</v>
      </c>
      <c r="M95" s="2">
        <f t="shared" si="15"/>
        <v>3.5158730158730158</v>
      </c>
    </row>
    <row r="96" spans="1:13" x14ac:dyDescent="0.25">
      <c r="A96" s="7">
        <f t="shared" si="16"/>
        <v>-21</v>
      </c>
      <c r="B96" s="2">
        <f t="shared" si="20"/>
        <v>2.2225000000000001</v>
      </c>
      <c r="C96" s="2">
        <f t="shared" si="17"/>
        <v>1.0232114355236381</v>
      </c>
      <c r="D96" s="2">
        <f t="shared" si="18"/>
        <v>0</v>
      </c>
      <c r="E96" s="2">
        <f t="shared" si="19"/>
        <v>-5.4821000732421661</v>
      </c>
      <c r="M96" s="2">
        <f t="shared" si="15"/>
        <v>3.7225000000000001</v>
      </c>
    </row>
    <row r="97" spans="1:13" x14ac:dyDescent="0.25">
      <c r="A97" s="7">
        <f t="shared" si="16"/>
        <v>-22</v>
      </c>
      <c r="B97" s="2">
        <f t="shared" si="20"/>
        <v>2.4392063492063492</v>
      </c>
      <c r="C97" s="2">
        <f t="shared" si="17"/>
        <v>1.0253934660431974</v>
      </c>
      <c r="D97" s="2">
        <f t="shared" si="18"/>
        <v>0</v>
      </c>
      <c r="E97" s="2">
        <f t="shared" si="19"/>
        <v>-5.7431524576822692</v>
      </c>
      <c r="M97" s="2">
        <f t="shared" si="15"/>
        <v>3.9392063492063492</v>
      </c>
    </row>
    <row r="98" spans="1:13" x14ac:dyDescent="0.25">
      <c r="A98" s="7">
        <f t="shared" si="16"/>
        <v>-23</v>
      </c>
      <c r="B98" s="2">
        <f t="shared" si="20"/>
        <v>2.6659920634920637</v>
      </c>
      <c r="C98" s="2">
        <f t="shared" si="17"/>
        <v>1.0276697260417011</v>
      </c>
      <c r="D98" s="2">
        <f t="shared" si="18"/>
        <v>0</v>
      </c>
      <c r="E98" s="2">
        <f t="shared" si="19"/>
        <v>-6.0042048421223724</v>
      </c>
      <c r="M98" s="2">
        <f t="shared" si="15"/>
        <v>4.1659920634920642</v>
      </c>
    </row>
    <row r="99" spans="1:13" x14ac:dyDescent="0.25">
      <c r="A99" s="7">
        <f t="shared" si="16"/>
        <v>-24</v>
      </c>
      <c r="B99" s="2">
        <f t="shared" si="20"/>
        <v>2.902857142857143</v>
      </c>
      <c r="C99" s="2">
        <f t="shared" si="17"/>
        <v>1.0300395908128848</v>
      </c>
      <c r="D99" s="2">
        <f t="shared" si="18"/>
        <v>0</v>
      </c>
      <c r="E99" s="2">
        <f t="shared" si="19"/>
        <v>-6.2652572265624755</v>
      </c>
      <c r="M99" s="2">
        <f t="shared" si="15"/>
        <v>4.402857142857143</v>
      </c>
    </row>
    <row r="100" spans="1:13" x14ac:dyDescent="0.25">
      <c r="A100" s="7">
        <f t="shared" si="16"/>
        <v>-25</v>
      </c>
      <c r="B100" s="2">
        <f t="shared" si="20"/>
        <v>3.1498015873015874</v>
      </c>
      <c r="C100" s="2">
        <f t="shared" si="17"/>
        <v>1.0325024158141867</v>
      </c>
      <c r="D100" s="2">
        <f t="shared" si="18"/>
        <v>0</v>
      </c>
      <c r="E100" s="2">
        <f t="shared" si="19"/>
        <v>-6.5263096110025787</v>
      </c>
      <c r="M100" s="2">
        <f t="shared" si="15"/>
        <v>4.649801587301587</v>
      </c>
    </row>
    <row r="101" spans="1:13" x14ac:dyDescent="0.25">
      <c r="A101" s="7">
        <f t="shared" si="16"/>
        <v>-26</v>
      </c>
      <c r="B101" s="2">
        <f t="shared" si="20"/>
        <v>3.406825396825397</v>
      </c>
      <c r="C101" s="2">
        <f t="shared" si="17"/>
        <v>1.0350575374746536</v>
      </c>
      <c r="D101" s="2">
        <f t="shared" si="18"/>
        <v>0</v>
      </c>
      <c r="E101" s="2">
        <f t="shared" si="19"/>
        <v>-6.7873619954426818</v>
      </c>
      <c r="M101" s="2">
        <f t="shared" si="15"/>
        <v>4.906825396825397</v>
      </c>
    </row>
    <row r="102" spans="1:13" x14ac:dyDescent="0.25">
      <c r="A102" s="7">
        <f t="shared" si="16"/>
        <v>-27</v>
      </c>
      <c r="B102" s="2">
        <f t="shared" si="20"/>
        <v>3.6739285714285717</v>
      </c>
      <c r="C102" s="2">
        <f t="shared" si="17"/>
        <v>1.0377042740130074</v>
      </c>
      <c r="D102" s="2">
        <f t="shared" si="18"/>
        <v>0</v>
      </c>
      <c r="E102" s="2">
        <f t="shared" si="19"/>
        <v>-7.048414379882785</v>
      </c>
      <c r="M102" s="2">
        <f t="shared" si="15"/>
        <v>5.1739285714285721</v>
      </c>
    </row>
    <row r="103" spans="1:13" x14ac:dyDescent="0.25">
      <c r="A103" s="7">
        <f t="shared" si="16"/>
        <v>-28</v>
      </c>
      <c r="B103" s="2">
        <f t="shared" si="20"/>
        <v>3.9511111111111115</v>
      </c>
      <c r="C103" s="2">
        <f t="shared" si="17"/>
        <v>1.0404419262637572</v>
      </c>
      <c r="D103" s="2">
        <f t="shared" si="18"/>
        <v>0</v>
      </c>
      <c r="E103" s="2">
        <f t="shared" si="19"/>
        <v>-7.3094667643228881</v>
      </c>
      <c r="M103" s="2">
        <f t="shared" si="15"/>
        <v>5.4511111111111115</v>
      </c>
    </row>
    <row r="104" spans="1:13" x14ac:dyDescent="0.25">
      <c r="A104" s="7">
        <f t="shared" si="16"/>
        <v>-29</v>
      </c>
      <c r="B104" s="2">
        <f t="shared" si="20"/>
        <v>4.238373015873016</v>
      </c>
      <c r="C104" s="2">
        <f t="shared" si="17"/>
        <v>1.0432697785092879</v>
      </c>
      <c r="D104" s="2">
        <f t="shared" si="18"/>
        <v>0</v>
      </c>
      <c r="E104" s="2">
        <f t="shared" si="19"/>
        <v>-7.5705191487629913</v>
      </c>
      <c r="M104" s="2">
        <f t="shared" si="15"/>
        <v>5.738373015873016</v>
      </c>
    </row>
    <row r="105" spans="1:13" x14ac:dyDescent="0.25">
      <c r="A105" s="7">
        <f t="shared" si="16"/>
        <v>-30</v>
      </c>
      <c r="B105" s="2">
        <f t="shared" si="20"/>
        <v>4.5357142857142856</v>
      </c>
      <c r="C105" s="2">
        <f t="shared" si="17"/>
        <v>1.046187099315895</v>
      </c>
      <c r="D105" s="2">
        <f t="shared" si="18"/>
        <v>0</v>
      </c>
      <c r="E105" s="2">
        <f t="shared" si="19"/>
        <v>-7.8315715332030944</v>
      </c>
      <c r="M105" s="2">
        <f t="shared" si="15"/>
        <v>6.0357142857142856</v>
      </c>
    </row>
    <row r="106" spans="1:13" x14ac:dyDescent="0.25">
      <c r="A106" s="7">
        <f t="shared" si="16"/>
        <v>-31</v>
      </c>
      <c r="B106" s="2">
        <f t="shared" si="20"/>
        <v>4.8431349206349212</v>
      </c>
      <c r="C106" s="2">
        <f t="shared" si="17"/>
        <v>1.0491931423717942</v>
      </c>
      <c r="D106" s="2">
        <f t="shared" si="18"/>
        <v>0</v>
      </c>
      <c r="E106" s="2">
        <f t="shared" si="19"/>
        <v>-8.0926239176431984</v>
      </c>
      <c r="M106" s="2">
        <f t="shared" si="15"/>
        <v>6.3431349206349212</v>
      </c>
    </row>
    <row r="107" spans="1:13" x14ac:dyDescent="0.25">
      <c r="A107" s="7">
        <f t="shared" si="16"/>
        <v>-32</v>
      </c>
      <c r="B107" s="2">
        <f t="shared" si="20"/>
        <v>5.1606349206349211</v>
      </c>
      <c r="C107" s="2">
        <f t="shared" si="17"/>
        <v>1.0522871473251965</v>
      </c>
      <c r="D107" s="2">
        <f t="shared" si="18"/>
        <v>0</v>
      </c>
      <c r="E107" s="2">
        <f t="shared" si="19"/>
        <v>-8.3536763020833007</v>
      </c>
      <c r="M107" s="2">
        <f t="shared" si="15"/>
        <v>6.6606349206349211</v>
      </c>
    </row>
    <row r="108" spans="1:13" x14ac:dyDescent="0.25">
      <c r="A108" s="7">
        <f t="shared" si="16"/>
        <v>-33</v>
      </c>
      <c r="B108" s="2">
        <f t="shared" si="20"/>
        <v>5.4882142857142862</v>
      </c>
      <c r="C108" s="2">
        <f t="shared" si="17"/>
        <v>1.0554683406206016</v>
      </c>
      <c r="D108" s="2">
        <f t="shared" si="18"/>
        <v>0</v>
      </c>
      <c r="E108" s="2">
        <f t="shared" si="19"/>
        <v>-8.614728686523403</v>
      </c>
      <c r="M108" s="2">
        <f t="shared" si="15"/>
        <v>6.9882142857142862</v>
      </c>
    </row>
    <row r="109" spans="1:13" x14ac:dyDescent="0.25">
      <c r="A109" s="7">
        <f t="shared" si="16"/>
        <v>-34</v>
      </c>
      <c r="B109" s="2">
        <f t="shared" si="20"/>
        <v>5.8258730158730163</v>
      </c>
      <c r="C109" s="2">
        <f t="shared" si="17"/>
        <v>1.0587359363315381</v>
      </c>
      <c r="D109" s="2">
        <f t="shared" si="18"/>
        <v>0</v>
      </c>
      <c r="E109" s="2">
        <f t="shared" si="19"/>
        <v>-8.875781070963507</v>
      </c>
      <c r="M109" s="2">
        <f t="shared" si="15"/>
        <v>7.3258730158730163</v>
      </c>
    </row>
    <row r="110" spans="1:13" x14ac:dyDescent="0.25">
      <c r="A110" s="7">
        <f t="shared" si="16"/>
        <v>-35</v>
      </c>
      <c r="B110" s="2">
        <f t="shared" si="20"/>
        <v>6.1736111111111116</v>
      </c>
      <c r="C110" s="2">
        <f t="shared" si="17"/>
        <v>1.0620891369880578</v>
      </c>
      <c r="D110" s="2">
        <f t="shared" si="18"/>
        <v>0</v>
      </c>
      <c r="E110" s="2">
        <f t="shared" si="19"/>
        <v>-9.136833455403611</v>
      </c>
      <c r="M110" s="2">
        <f t="shared" si="15"/>
        <v>7.6736111111111116</v>
      </c>
    </row>
    <row r="111" spans="1:13" x14ac:dyDescent="0.25">
      <c r="A111" s="7">
        <f t="shared" si="16"/>
        <v>-36</v>
      </c>
      <c r="B111" s="2">
        <f t="shared" si="20"/>
        <v>6.531428571428572</v>
      </c>
      <c r="C111" s="2">
        <f t="shared" si="17"/>
        <v>1.065527134397366</v>
      </c>
      <c r="D111" s="2">
        <f t="shared" si="18"/>
        <v>0</v>
      </c>
      <c r="E111" s="2">
        <f t="shared" si="19"/>
        <v>-9.3978858398437133</v>
      </c>
      <c r="M111" s="2">
        <f t="shared" si="15"/>
        <v>8.031428571428572</v>
      </c>
    </row>
    <row r="112" spans="1:13" x14ac:dyDescent="0.25">
      <c r="A112" s="7">
        <f t="shared" si="16"/>
        <v>-37</v>
      </c>
      <c r="B112" s="2">
        <f t="shared" si="20"/>
        <v>6.8993253968253976</v>
      </c>
      <c r="C112" s="2">
        <f t="shared" si="17"/>
        <v>1.0690491104560598</v>
      </c>
      <c r="D112" s="2">
        <f t="shared" si="18"/>
        <v>0</v>
      </c>
      <c r="E112" s="2">
        <f t="shared" si="19"/>
        <v>-9.6589382242838155</v>
      </c>
      <c r="M112" s="2">
        <f t="shared" si="15"/>
        <v>8.3993253968253967</v>
      </c>
    </row>
    <row r="113" spans="1:13" x14ac:dyDescent="0.25">
      <c r="A113" s="7">
        <f t="shared" si="16"/>
        <v>-38</v>
      </c>
      <c r="B113" s="2">
        <f t="shared" si="20"/>
        <v>7.2773015873015874</v>
      </c>
      <c r="C113" s="2">
        <f t="shared" si="17"/>
        <v>1.0726542379525339</v>
      </c>
      <c r="D113" s="2">
        <f t="shared" si="18"/>
        <v>0</v>
      </c>
      <c r="E113" s="2">
        <f t="shared" si="19"/>
        <v>-9.9199906087239196</v>
      </c>
      <c r="M113" s="2">
        <f t="shared" si="15"/>
        <v>8.7773015873015865</v>
      </c>
    </row>
    <row r="114" spans="1:13" x14ac:dyDescent="0.25">
      <c r="A114" s="7">
        <f t="shared" si="16"/>
        <v>-39</v>
      </c>
      <c r="B114" s="2">
        <f t="shared" si="20"/>
        <v>7.6653571428571432</v>
      </c>
      <c r="C114" s="2">
        <f t="shared" si="17"/>
        <v>1.0763416813581894</v>
      </c>
      <c r="D114" s="2">
        <f t="shared" si="18"/>
        <v>0</v>
      </c>
      <c r="E114" s="2">
        <f t="shared" si="19"/>
        <v>-10.181042993164024</v>
      </c>
      <c r="M114" s="2">
        <f t="shared" si="15"/>
        <v>9.1653571428571432</v>
      </c>
    </row>
    <row r="115" spans="1:13" x14ac:dyDescent="0.25">
      <c r="A115" s="7">
        <f t="shared" si="16"/>
        <v>-40</v>
      </c>
      <c r="B115" s="2">
        <f t="shared" si="20"/>
        <v>8.0634920634920633</v>
      </c>
      <c r="C115" s="2">
        <f t="shared" si="17"/>
        <v>1.0801105976062015</v>
      </c>
      <c r="D115" s="2">
        <f t="shared" si="18"/>
        <v>0</v>
      </c>
      <c r="E115" s="2">
        <f t="shared" si="19"/>
        <v>-10.442095377604126</v>
      </c>
      <c r="M115" s="2">
        <f t="shared" si="15"/>
        <v>9.5634920634920633</v>
      </c>
    </row>
    <row r="116" spans="1:13" x14ac:dyDescent="0.25">
      <c r="A116" s="7">
        <f t="shared" si="16"/>
        <v>-41</v>
      </c>
      <c r="B116" s="2">
        <f t="shared" si="20"/>
        <v>8.4717063492063502</v>
      </c>
      <c r="C116" s="2">
        <f t="shared" si="17"/>
        <v>1.0839601368566467</v>
      </c>
      <c r="D116" s="2">
        <f t="shared" si="18"/>
        <v>0</v>
      </c>
      <c r="E116" s="2">
        <f t="shared" si="19"/>
        <v>-10.703147762044228</v>
      </c>
      <c r="M116" s="2">
        <f t="shared" si="15"/>
        <v>9.9717063492063502</v>
      </c>
    </row>
    <row r="117" spans="1:13" x14ac:dyDescent="0.25">
      <c r="A117" s="7">
        <f t="shared" si="16"/>
        <v>-42</v>
      </c>
      <c r="B117" s="2">
        <f t="shared" si="20"/>
        <v>8.89</v>
      </c>
      <c r="C117" s="2">
        <f t="shared" si="17"/>
        <v>1.0878894432469426</v>
      </c>
      <c r="D117" s="2">
        <f t="shared" si="18"/>
        <v>0</v>
      </c>
      <c r="E117" s="2">
        <f t="shared" si="19"/>
        <v>-10.964200146484332</v>
      </c>
      <c r="M117" s="2">
        <f t="shared" si="15"/>
        <v>10.39</v>
      </c>
    </row>
    <row r="118" spans="1:13" x14ac:dyDescent="0.25">
      <c r="A118" s="7">
        <f t="shared" si="16"/>
        <v>-43</v>
      </c>
      <c r="B118" s="2">
        <f t="shared" si="20"/>
        <v>9.318373015873016</v>
      </c>
      <c r="C118" s="2">
        <f t="shared" si="17"/>
        <v>1.0918976556265754</v>
      </c>
      <c r="D118" s="2">
        <f t="shared" si="18"/>
        <v>0</v>
      </c>
      <c r="E118" s="2">
        <f t="shared" si="19"/>
        <v>-11.225252530924436</v>
      </c>
      <c r="M118" s="2">
        <f t="shared" si="15"/>
        <v>10.818373015873016</v>
      </c>
    </row>
    <row r="119" spans="1:13" x14ac:dyDescent="0.25">
      <c r="A119" s="7">
        <f t="shared" si="16"/>
        <v>-44</v>
      </c>
      <c r="B119" s="2">
        <f t="shared" si="20"/>
        <v>9.7568253968253966</v>
      </c>
      <c r="C119" s="2">
        <f t="shared" si="17"/>
        <v>1.0959839082752483</v>
      </c>
      <c r="D119" s="2">
        <f t="shared" si="18"/>
        <v>0</v>
      </c>
      <c r="E119" s="2">
        <f t="shared" si="19"/>
        <v>-11.486304915364538</v>
      </c>
      <c r="M119" s="2">
        <f t="shared" si="15"/>
        <v>11.256825396825397</v>
      </c>
    </row>
    <row r="120" spans="1:13" x14ac:dyDescent="0.25">
      <c r="A120" s="7">
        <f t="shared" si="16"/>
        <v>-45</v>
      </c>
      <c r="B120" s="2">
        <f t="shared" si="20"/>
        <v>10.205357142857144</v>
      </c>
      <c r="C120" s="2">
        <f t="shared" si="17"/>
        <v>1.100147331603621</v>
      </c>
      <c r="D120" s="2">
        <f t="shared" si="18"/>
        <v>0</v>
      </c>
      <c r="E120" s="2">
        <f t="shared" si="19"/>
        <v>-11.747357299804641</v>
      </c>
      <c r="M120" s="2">
        <f t="shared" si="15"/>
        <v>11.705357142857144</v>
      </c>
    </row>
    <row r="121" spans="1:13" x14ac:dyDescent="0.25">
      <c r="A121" s="7">
        <f t="shared" si="16"/>
        <v>-46</v>
      </c>
      <c r="B121" s="2">
        <f t="shared" si="20"/>
        <v>10.663968253968255</v>
      </c>
      <c r="C121" s="2">
        <f t="shared" si="17"/>
        <v>1.1043870528359407</v>
      </c>
      <c r="D121" s="2">
        <f t="shared" si="18"/>
        <v>0</v>
      </c>
      <c r="E121" s="2">
        <f t="shared" si="19"/>
        <v>-12.008409684244745</v>
      </c>
      <c r="M121" s="2">
        <f t="shared" si="15"/>
        <v>12.163968253968255</v>
      </c>
    </row>
    <row r="122" spans="1:13" x14ac:dyDescent="0.25">
      <c r="A122" s="7">
        <f t="shared" si="16"/>
        <v>-47</v>
      </c>
      <c r="B122" s="2">
        <f t="shared" si="20"/>
        <v>11.132658730158731</v>
      </c>
      <c r="C122" s="2">
        <f t="shared" si="17"/>
        <v>1.1087021966739079</v>
      </c>
      <c r="D122" s="2">
        <f t="shared" si="18"/>
        <v>0</v>
      </c>
      <c r="E122" s="2">
        <f t="shared" si="19"/>
        <v>-12.269462068684849</v>
      </c>
      <c r="M122" s="2">
        <f t="shared" si="15"/>
        <v>12.632658730158731</v>
      </c>
    </row>
    <row r="123" spans="1:13" x14ac:dyDescent="0.25">
      <c r="A123" s="7">
        <f t="shared" si="16"/>
        <v>-48</v>
      </c>
      <c r="B123" s="2">
        <f t="shared" si="20"/>
        <v>11.611428571428572</v>
      </c>
      <c r="C123" s="2">
        <f t="shared" si="17"/>
        <v>1.11309188594125</v>
      </c>
      <c r="D123" s="2">
        <f t="shared" si="18"/>
        <v>0</v>
      </c>
      <c r="E123" s="2">
        <f t="shared" si="19"/>
        <v>-12.530514453124951</v>
      </c>
      <c r="M123" s="2">
        <f t="shared" si="15"/>
        <v>13.111428571428572</v>
      </c>
    </row>
    <row r="124" spans="1:13" x14ac:dyDescent="0.25">
      <c r="A124" s="7">
        <f t="shared" si="16"/>
        <v>-49</v>
      </c>
      <c r="B124" s="2">
        <f t="shared" si="20"/>
        <v>12.100277777777778</v>
      </c>
      <c r="C124" s="2">
        <f t="shared" si="17"/>
        <v>1.1175552422085251</v>
      </c>
      <c r="D124" s="2">
        <f t="shared" si="18"/>
        <v>0</v>
      </c>
      <c r="E124" s="2">
        <f t="shared" si="19"/>
        <v>-12.791566837565053</v>
      </c>
      <c r="M124" s="2">
        <f t="shared" si="15"/>
        <v>13.600277777777778</v>
      </c>
    </row>
    <row r="125" spans="1:13" x14ac:dyDescent="0.25">
      <c r="A125" s="7">
        <f t="shared" si="16"/>
        <v>-50</v>
      </c>
      <c r="B125" s="2">
        <f t="shared" si="20"/>
        <v>12.59920634920635</v>
      </c>
      <c r="C125" s="2">
        <f t="shared" si="17"/>
        <v>1.1220913863977691</v>
      </c>
      <c r="D125" s="2">
        <f t="shared" si="18"/>
        <v>0</v>
      </c>
      <c r="E125" s="2">
        <f t="shared" si="19"/>
        <v>-13.052619222005157</v>
      </c>
      <c r="M125" s="2">
        <f t="shared" si="15"/>
        <v>14.09920634920635</v>
      </c>
    </row>
    <row r="126" spans="1:13" x14ac:dyDescent="0.25">
      <c r="A126" s="7">
        <f t="shared" si="16"/>
        <v>-51</v>
      </c>
      <c r="B126" s="2">
        <f t="shared" si="20"/>
        <v>13.108214285714286</v>
      </c>
      <c r="C126" s="2">
        <f t="shared" si="17"/>
        <v>1.1266994393666778</v>
      </c>
      <c r="D126" s="2">
        <f t="shared" si="18"/>
        <v>0</v>
      </c>
      <c r="E126" s="2">
        <f t="shared" si="19"/>
        <v>-13.313671606445261</v>
      </c>
      <c r="M126" s="2">
        <f t="shared" si="15"/>
        <v>14.608214285714286</v>
      </c>
    </row>
    <row r="127" spans="1:13" x14ac:dyDescent="0.25">
      <c r="A127" s="7">
        <f t="shared" si="16"/>
        <v>-52</v>
      </c>
      <c r="B127" s="2">
        <f t="shared" si="20"/>
        <v>13.627301587301588</v>
      </c>
      <c r="C127" s="2">
        <f t="shared" si="17"/>
        <v>1.131378522472082</v>
      </c>
      <c r="D127" s="2">
        <f t="shared" si="18"/>
        <v>0</v>
      </c>
      <c r="E127" s="2">
        <f t="shared" si="19"/>
        <v>-13.574723990885364</v>
      </c>
      <c r="M127" s="2">
        <f t="shared" si="15"/>
        <v>15.127301587301588</v>
      </c>
    </row>
    <row r="128" spans="1:13" x14ac:dyDescent="0.25">
      <c r="A128" s="7">
        <f t="shared" si="16"/>
        <v>-53</v>
      </c>
      <c r="B128" s="2">
        <f t="shared" si="20"/>
        <v>14.156468253968255</v>
      </c>
      <c r="C128" s="2">
        <f t="shared" si="17"/>
        <v>1.1361277581125471</v>
      </c>
      <c r="D128" s="2">
        <f t="shared" si="18"/>
        <v>0</v>
      </c>
      <c r="E128" s="2">
        <f t="shared" si="19"/>
        <v>-13.835776375325466</v>
      </c>
      <c r="M128" s="2">
        <f t="shared" si="15"/>
        <v>15.656468253968255</v>
      </c>
    </row>
    <row r="129" spans="1:13" x14ac:dyDescent="0.25">
      <c r="A129" s="7">
        <f t="shared" si="16"/>
        <v>-54</v>
      </c>
      <c r="B129" s="2">
        <f t="shared" si="20"/>
        <v>14.695714285714287</v>
      </c>
      <c r="C129" s="2">
        <f t="shared" si="17"/>
        <v>1.1409462702499973</v>
      </c>
      <c r="D129" s="2">
        <f t="shared" si="18"/>
        <v>0</v>
      </c>
      <c r="E129" s="2">
        <f t="shared" si="19"/>
        <v>-14.09682875976557</v>
      </c>
      <c r="M129" s="2">
        <f t="shared" si="15"/>
        <v>16.195714285714288</v>
      </c>
    </row>
    <row r="130" spans="1:13" x14ac:dyDescent="0.25">
      <c r="A130" s="7">
        <f t="shared" si="16"/>
        <v>-55</v>
      </c>
      <c r="B130" s="2">
        <f t="shared" si="20"/>
        <v>15.245039682539684</v>
      </c>
      <c r="C130" s="2">
        <f t="shared" si="17"/>
        <v>1.1458331849103183</v>
      </c>
      <c r="D130" s="2">
        <f t="shared" si="18"/>
        <v>0</v>
      </c>
      <c r="E130" s="2">
        <f t="shared" si="19"/>
        <v>-14.357881144205674</v>
      </c>
      <c r="M130" s="2">
        <f t="shared" si="15"/>
        <v>16.745039682539684</v>
      </c>
    </row>
    <row r="131" spans="1:13" x14ac:dyDescent="0.25">
      <c r="A131" s="7">
        <f t="shared" si="16"/>
        <v>-56</v>
      </c>
      <c r="B131" s="2">
        <f t="shared" si="20"/>
        <v>15.804444444444446</v>
      </c>
      <c r="C131" s="2">
        <f t="shared" si="17"/>
        <v>1.150787630662961</v>
      </c>
      <c r="D131" s="2">
        <f t="shared" si="18"/>
        <v>0</v>
      </c>
      <c r="E131" s="2">
        <f t="shared" si="19"/>
        <v>-14.618933528645776</v>
      </c>
      <c r="M131" s="2">
        <f t="shared" si="15"/>
        <v>17.304444444444446</v>
      </c>
    </row>
    <row r="132" spans="1:13" x14ac:dyDescent="0.25">
      <c r="A132" s="7">
        <f t="shared" si="16"/>
        <v>-57</v>
      </c>
      <c r="B132" s="2">
        <f t="shared" si="20"/>
        <v>16.373928571428571</v>
      </c>
      <c r="C132" s="2">
        <f t="shared" si="17"/>
        <v>1.1558087390796237</v>
      </c>
      <c r="D132" s="2">
        <f t="shared" si="18"/>
        <v>0</v>
      </c>
      <c r="E132" s="2">
        <f t="shared" si="19"/>
        <v>-14.879985913085878</v>
      </c>
      <c r="M132" s="2">
        <f t="shared" si="15"/>
        <v>17.873928571428571</v>
      </c>
    </row>
    <row r="133" spans="1:13" x14ac:dyDescent="0.25">
      <c r="A133" s="7">
        <f t="shared" si="16"/>
        <v>-58</v>
      </c>
      <c r="B133" s="2">
        <f t="shared" si="20"/>
        <v>16.953492063492064</v>
      </c>
      <c r="C133" s="2">
        <f t="shared" si="17"/>
        <v>1.1608956451721206</v>
      </c>
      <c r="D133" s="2">
        <f t="shared" si="18"/>
        <v>0</v>
      </c>
      <c r="E133" s="2">
        <f t="shared" si="19"/>
        <v>-15.141038297525983</v>
      </c>
      <c r="M133" s="2">
        <f t="shared" si="15"/>
        <v>18.453492063492064</v>
      </c>
    </row>
    <row r="134" spans="1:13" x14ac:dyDescent="0.25">
      <c r="A134" s="7">
        <f t="shared" si="16"/>
        <v>-59</v>
      </c>
      <c r="B134" s="2">
        <f t="shared" si="20"/>
        <v>17.543134920634923</v>
      </c>
      <c r="C134" s="2">
        <f t="shared" si="17"/>
        <v>1.1660474878096332</v>
      </c>
      <c r="D134" s="2">
        <f t="shared" si="18"/>
        <v>0</v>
      </c>
      <c r="E134" s="2">
        <f t="shared" si="19"/>
        <v>-15.402090681966087</v>
      </c>
      <c r="M134" s="2">
        <f t="shared" si="15"/>
        <v>19.043134920634923</v>
      </c>
    </row>
    <row r="135" spans="1:13" x14ac:dyDescent="0.25">
      <c r="A135" s="7">
        <f t="shared" si="16"/>
        <v>-60</v>
      </c>
      <c r="B135" s="2">
        <f t="shared" si="20"/>
        <v>18.142857142857142</v>
      </c>
      <c r="C135" s="2">
        <f t="shared" si="17"/>
        <v>1.1712634101155632</v>
      </c>
      <c r="D135" s="2">
        <f t="shared" si="18"/>
        <v>0</v>
      </c>
      <c r="E135" s="2">
        <f t="shared" si="19"/>
        <v>-15.663143066406189</v>
      </c>
      <c r="M135" s="2">
        <f t="shared" ref="M135:M144" si="21">B135+1.5</f>
        <v>19.642857142857142</v>
      </c>
    </row>
    <row r="136" spans="1:13" x14ac:dyDescent="0.25">
      <c r="A136" s="7">
        <f t="shared" ref="A136:A144" si="22">A135-1</f>
        <v>-61</v>
      </c>
      <c r="B136" s="2">
        <f t="shared" si="20"/>
        <v>18.752658730158732</v>
      </c>
      <c r="C136" s="2">
        <f t="shared" si="17"/>
        <v>1.1765425598441892</v>
      </c>
      <c r="D136" s="2">
        <f t="shared" si="18"/>
        <v>0</v>
      </c>
      <c r="E136" s="2">
        <f t="shared" si="19"/>
        <v>-15.924195450846291</v>
      </c>
      <c r="M136" s="2">
        <f t="shared" si="21"/>
        <v>20.252658730158732</v>
      </c>
    </row>
    <row r="137" spans="1:13" x14ac:dyDescent="0.25">
      <c r="A137" s="7">
        <f t="shared" si="22"/>
        <v>-62</v>
      </c>
      <c r="B137" s="2">
        <f t="shared" si="20"/>
        <v>19.372539682539685</v>
      </c>
      <c r="C137" s="2">
        <f t="shared" si="17"/>
        <v>1.1818840897375269</v>
      </c>
      <c r="D137" s="2">
        <f t="shared" si="18"/>
        <v>0</v>
      </c>
      <c r="E137" s="2">
        <f t="shared" si="19"/>
        <v>-16.185247835286397</v>
      </c>
      <c r="M137" s="2">
        <f t="shared" si="21"/>
        <v>20.872539682539685</v>
      </c>
    </row>
    <row r="138" spans="1:13" x14ac:dyDescent="0.25">
      <c r="A138" s="7">
        <f t="shared" si="22"/>
        <v>-63</v>
      </c>
      <c r="B138" s="2">
        <f t="shared" si="20"/>
        <v>20.002500000000001</v>
      </c>
      <c r="C138" s="2">
        <f t="shared" si="17"/>
        <v>1.1872871578626203</v>
      </c>
      <c r="D138" s="2">
        <f t="shared" si="18"/>
        <v>0</v>
      </c>
      <c r="E138" s="2">
        <f t="shared" si="19"/>
        <v>-16.446300219726499</v>
      </c>
      <c r="M138" s="2">
        <f t="shared" si="21"/>
        <v>21.502500000000001</v>
      </c>
    </row>
    <row r="139" spans="1:13" x14ac:dyDescent="0.25">
      <c r="A139" s="7">
        <f t="shared" si="22"/>
        <v>-64</v>
      </c>
      <c r="B139" s="2">
        <f t="shared" si="20"/>
        <v>20.642539682539685</v>
      </c>
      <c r="C139" s="2">
        <f t="shared" si="17"/>
        <v>1.1927509279296731</v>
      </c>
      <c r="D139" s="2">
        <f t="shared" si="18"/>
        <v>0</v>
      </c>
      <c r="E139" s="2">
        <f t="shared" si="19"/>
        <v>-16.707352604166601</v>
      </c>
      <c r="M139" s="2">
        <f t="shared" si="21"/>
        <v>22.142539682539685</v>
      </c>
    </row>
    <row r="140" spans="1:13" x14ac:dyDescent="0.25">
      <c r="A140" s="7">
        <f t="shared" si="22"/>
        <v>-65</v>
      </c>
      <c r="B140" s="2">
        <f t="shared" si="20"/>
        <v>21.292658730158731</v>
      </c>
      <c r="C140" s="2">
        <f t="shared" si="17"/>
        <v>1.1982745695914208</v>
      </c>
      <c r="D140" s="2">
        <f t="shared" si="18"/>
        <v>0</v>
      </c>
      <c r="E140" s="2">
        <f t="shared" si="19"/>
        <v>-16.968404988606704</v>
      </c>
      <c r="M140" s="2">
        <f t="shared" si="21"/>
        <v>22.792658730158731</v>
      </c>
    </row>
    <row r="141" spans="1:13" x14ac:dyDescent="0.25">
      <c r="A141" s="7">
        <f t="shared" si="22"/>
        <v>-66</v>
      </c>
      <c r="B141" s="2">
        <f t="shared" si="20"/>
        <v>21.952857142857145</v>
      </c>
      <c r="C141" s="2">
        <f t="shared" si="17"/>
        <v>1.2038572587241041</v>
      </c>
      <c r="D141" s="2">
        <f t="shared" si="18"/>
        <v>0</v>
      </c>
      <c r="E141" s="2">
        <f t="shared" si="19"/>
        <v>-17.229457373046806</v>
      </c>
      <c r="M141" s="2">
        <f t="shared" si="21"/>
        <v>23.452857142857145</v>
      </c>
    </row>
    <row r="142" spans="1:13" x14ac:dyDescent="0.25">
      <c r="A142" s="7">
        <f t="shared" si="22"/>
        <v>-67</v>
      </c>
      <c r="B142" s="2">
        <f t="shared" si="20"/>
        <v>22.623134920634921</v>
      </c>
      <c r="C142" s="2">
        <f t="shared" ref="C142:C144" si="23">SQRT((B143-B142)^2+(A143-A142)^2)</f>
        <v>1.2094981776905396</v>
      </c>
      <c r="D142" s="2">
        <f t="shared" ref="D142:D144" si="24">IF(A142&lt;0.13,0,C143+D143)</f>
        <v>0</v>
      </c>
      <c r="E142" s="2">
        <f t="shared" ref="E142:E144" si="25">2*(A142)*SIN(RADIANS($D$4/2))</f>
        <v>-17.490509757486912</v>
      </c>
      <c r="M142" s="2">
        <f t="shared" si="21"/>
        <v>24.123134920634921</v>
      </c>
    </row>
    <row r="143" spans="1:13" x14ac:dyDescent="0.25">
      <c r="A143" s="7">
        <f t="shared" si="22"/>
        <v>-68</v>
      </c>
      <c r="B143" s="2">
        <f t="shared" ref="B143:B144" si="26">A143^2/(4*$B$4*$B$2*100/2.54)</f>
        <v>23.303492063492065</v>
      </c>
      <c r="C143" s="2">
        <f t="shared" si="23"/>
        <v>1.2151965155856721</v>
      </c>
      <c r="D143" s="2">
        <f t="shared" si="24"/>
        <v>0</v>
      </c>
      <c r="E143" s="2">
        <f t="shared" si="25"/>
        <v>-17.751562141927014</v>
      </c>
      <c r="M143" s="2">
        <f t="shared" si="21"/>
        <v>24.803492063492065</v>
      </c>
    </row>
    <row r="144" spans="1:13" x14ac:dyDescent="0.25">
      <c r="A144" s="7">
        <f t="shared" si="22"/>
        <v>-69</v>
      </c>
      <c r="B144" s="2">
        <f t="shared" si="26"/>
        <v>23.993928571428572</v>
      </c>
      <c r="C144" s="2">
        <f t="shared" si="23"/>
        <v>73.052779606876129</v>
      </c>
      <c r="D144" s="2">
        <f t="shared" si="24"/>
        <v>0</v>
      </c>
      <c r="E144" s="2">
        <f t="shared" si="25"/>
        <v>-18.012614526367116</v>
      </c>
      <c r="M144" s="2">
        <f t="shared" si="21"/>
        <v>25.493928571428572</v>
      </c>
    </row>
  </sheetData>
  <sheetProtection sheet="1" objects="1" scenarios="1"/>
  <pageMargins left="0.7" right="0.7" top="0.75" bottom="0.75" header="0.3" footer="0.3"/>
  <pageSetup paperSize="17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2.74 m (original)</vt:lpstr>
      <vt:lpstr>1.54 m</vt:lpstr>
      <vt:lpstr>3.5 m</vt:lpstr>
    </vt:vector>
  </TitlesOfParts>
  <Manager/>
  <Company>SAIC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Burnfield, Jason L.</dc:creator>
  <cp:keywords/>
  <dc:description/>
  <cp:lastModifiedBy>Jason Burnfield</cp:lastModifiedBy>
  <cp:revision/>
  <dcterms:created xsi:type="dcterms:W3CDTF">2023-06-28T17:49:37Z</dcterms:created>
  <dcterms:modified xsi:type="dcterms:W3CDTF">2026-04-14T21:56:10Z</dcterms:modified>
  <cp:category/>
  <cp:contentStatus/>
</cp:coreProperties>
</file>